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/>
  <mc:AlternateContent xmlns:mc="http://schemas.openxmlformats.org/markup-compatibility/2006">
    <mc:Choice Requires="x15">
      <x15ac:absPath xmlns:x15ac="http://schemas.microsoft.com/office/spreadsheetml/2010/11/ac" url="https://camaralisboa.sharepoint.com/sites/dmu.epiou.tms/Shared Documents/004_ATIVOS/05_SIMULADOR_TAXAS/"/>
    </mc:Choice>
  </mc:AlternateContent>
  <xr:revisionPtr revIDLastSave="0" documentId="8_{1447EC14-E84D-4B00-8D07-831AA2006D6B}" xr6:coauthVersionLast="47" xr6:coauthVersionMax="47" xr10:uidLastSave="{00000000-0000-0000-0000-000000000000}"/>
  <workbookProtection workbookAlgorithmName="SHA-512" workbookHashValue="kaRBRFybHpFzk0PNPRWXlfJDXSKkDQVfblVUnzVaGlLEDb1I3XRAC4oZnS2/2WY7VKkUHFwSo+pe9r34xrAQNQ==" workbookSaltValue="uRNim/tIjfGmcI8iJ7vWlg==" workbookSpinCount="100000" lockStructure="1"/>
  <bookViews>
    <workbookView xWindow="-120" yWindow="-120" windowWidth="29040" windowHeight="15840" tabRatio="714" firstSheet="5" activeTab="5" xr2:uid="{5D9F9DD9-A086-4BEF-964B-49020758F4A7}"/>
  </bookViews>
  <sheets>
    <sheet name="TABELAS_COEFICIENTES" sheetId="1" state="hidden" r:id="rId1"/>
    <sheet name="TRIU_EDIFICAÇÃO" sheetId="2" state="hidden" r:id="rId2"/>
    <sheet name="TRIU_LOTEAMENTO" sheetId="23" state="hidden" r:id="rId3"/>
    <sheet name="TRIU_UTILIZAÇÃO" sheetId="28" state="hidden" r:id="rId4"/>
    <sheet name="SIMULADOR_TAXAS ADMINISTRATIVAS" sheetId="4" state="hidden" r:id="rId5"/>
    <sheet name="INSTRUÇÕES" sheetId="31" r:id="rId6"/>
    <sheet name="EDIFICAÇÃO_DEMOLIÇÃO" sheetId="17" r:id="rId7"/>
    <sheet name="LOTEAMENTO_URBANIZAÇÃO" sheetId="20" r:id="rId8"/>
    <sheet name="UTILIZAÇÃO" sheetId="29" r:id="rId9"/>
    <sheet name="OUTROS" sheetId="22" r:id="rId10"/>
    <sheet name="OVP_Traçados A e B" sheetId="25" r:id="rId11"/>
    <sheet name="OVP_Traçados C e D" sheetId="26" r:id="rId12"/>
    <sheet name="OVP_Espaços a Consolidar" sheetId="27" r:id="rId13"/>
  </sheets>
  <definedNames>
    <definedName name="_xlnm._FilterDatabase" localSheetId="6" hidden="1">EDIFICAÇÃO_DEMOLIÇÃO!#REF!</definedName>
    <definedName name="_xlnm._FilterDatabase" localSheetId="5" hidden="1">INSTRUÇÕES!#REF!</definedName>
    <definedName name="_xlnm._FilterDatabase" localSheetId="7" hidden="1">LOTEAMENTO_URBANIZAÇÃO!#REF!</definedName>
    <definedName name="_xlnm._FilterDatabase" localSheetId="9" hidden="1">OUTROS!#REF!</definedName>
    <definedName name="_xlnm._FilterDatabase" localSheetId="12" hidden="1">'OVP_Espaços a Consolidar'!#REF!</definedName>
    <definedName name="_xlnm._FilterDatabase" localSheetId="10" hidden="1">'OVP_Traçados A e B'!#REF!</definedName>
    <definedName name="_xlnm._FilterDatabase" localSheetId="11" hidden="1">'OVP_Traçados C e D'!#REF!</definedName>
    <definedName name="_xlnm._FilterDatabase" localSheetId="8" hidden="1">UTILIZAÇÃO!#REF!</definedName>
    <definedName name="_xlnm.Print_Area" localSheetId="6">EDIFICAÇÃO_DEMOLIÇÃO!$A$1:$F$135</definedName>
    <definedName name="_xlnm.Print_Area" localSheetId="5">INSTRUÇÕES!$A$1:$F$73</definedName>
    <definedName name="_xlnm.Print_Area" localSheetId="7">LOTEAMENTO_URBANIZAÇÃO!$A$1:$F$96</definedName>
    <definedName name="_xlnm.Print_Area" localSheetId="9">OUTROS!$A$1:$G$35</definedName>
    <definedName name="_xlnm.Print_Area" localSheetId="12">'OVP_Espaços a Consolidar'!$A$1:$N$141</definedName>
    <definedName name="_xlnm.Print_Area" localSheetId="10">'OVP_Traçados A e B'!$A$1:$N$141</definedName>
    <definedName name="_xlnm.Print_Area" localSheetId="11">'OVP_Traçados C e D'!$A$1:$N$141</definedName>
    <definedName name="_xlnm.Print_Area" localSheetId="4">'SIMULADOR_TAXAS ADMINISTRATIVAS'!$A$8:$F$89</definedName>
    <definedName name="_xlnm.Print_Area" localSheetId="0">TABELAS_COEFICIENTES!$A$1:$H$44</definedName>
    <definedName name="_xlnm.Print_Area" localSheetId="1">TRIU_EDIFICAÇÃO!$A$1:$B$17</definedName>
    <definedName name="_xlnm.Print_Area" localSheetId="2">TRIU_LOTEAMENTO!$A$1:$B$17</definedName>
    <definedName name="_xlnm.Print_Area" localSheetId="3">TRIU_UTILIZAÇÃO!$A$1:$B$17</definedName>
    <definedName name="_xlnm.Print_Area" localSheetId="8">UTILIZAÇÃO!$A$1:$H$85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1" l="1"/>
  <c r="D19" i="31"/>
  <c r="D18" i="31"/>
  <c r="D17" i="31"/>
  <c r="G60" i="29"/>
  <c r="D83" i="4"/>
  <c r="D54" i="29"/>
  <c r="E54" i="29"/>
  <c r="M101" i="27"/>
  <c r="M26" i="27"/>
  <c r="M26" i="26"/>
  <c r="M25" i="25"/>
  <c r="M26" i="25"/>
  <c r="M100" i="27"/>
  <c r="M99" i="27"/>
  <c r="M98" i="27"/>
  <c r="M97" i="27"/>
  <c r="M96" i="27"/>
  <c r="M95" i="27"/>
  <c r="M101" i="26"/>
  <c r="M100" i="26"/>
  <c r="M99" i="26"/>
  <c r="M98" i="26"/>
  <c r="M97" i="26"/>
  <c r="M96" i="26"/>
  <c r="M95" i="26"/>
  <c r="M92" i="27"/>
  <c r="M91" i="27"/>
  <c r="M90" i="27"/>
  <c r="M89" i="27"/>
  <c r="M88" i="27"/>
  <c r="M87" i="27"/>
  <c r="M86" i="27"/>
  <c r="M85" i="27"/>
  <c r="M84" i="27"/>
  <c r="M92" i="26"/>
  <c r="M91" i="26"/>
  <c r="M90" i="26"/>
  <c r="M89" i="26"/>
  <c r="M88" i="26"/>
  <c r="M87" i="26"/>
  <c r="M86" i="26"/>
  <c r="M85" i="26"/>
  <c r="M84" i="26"/>
  <c r="M79" i="27"/>
  <c r="M78" i="27"/>
  <c r="M77" i="27"/>
  <c r="M76" i="27"/>
  <c r="M75" i="27"/>
  <c r="M74" i="27"/>
  <c r="M73" i="27"/>
  <c r="M79" i="26"/>
  <c r="M78" i="26"/>
  <c r="M77" i="26"/>
  <c r="M76" i="26"/>
  <c r="M75" i="26"/>
  <c r="M74" i="26"/>
  <c r="M73" i="26"/>
  <c r="M70" i="27"/>
  <c r="M69" i="27"/>
  <c r="M68" i="27"/>
  <c r="M67" i="27"/>
  <c r="M66" i="27"/>
  <c r="M65" i="27"/>
  <c r="M64" i="27"/>
  <c r="M63" i="27"/>
  <c r="M62" i="27"/>
  <c r="M70" i="26"/>
  <c r="M69" i="26"/>
  <c r="M68" i="26"/>
  <c r="M67" i="26"/>
  <c r="M66" i="26"/>
  <c r="M65" i="26"/>
  <c r="M64" i="26"/>
  <c r="M63" i="26"/>
  <c r="M62" i="26"/>
  <c r="M57" i="27"/>
  <c r="M56" i="27"/>
  <c r="M55" i="27"/>
  <c r="M54" i="27"/>
  <c r="M53" i="27"/>
  <c r="M52" i="27"/>
  <c r="M51" i="27"/>
  <c r="M57" i="26"/>
  <c r="M56" i="26"/>
  <c r="M55" i="26"/>
  <c r="M54" i="26"/>
  <c r="M53" i="26"/>
  <c r="M52" i="26"/>
  <c r="M51" i="26"/>
  <c r="M48" i="27"/>
  <c r="M47" i="27"/>
  <c r="M46" i="27"/>
  <c r="M45" i="27"/>
  <c r="M44" i="27"/>
  <c r="M43" i="27"/>
  <c r="M42" i="27"/>
  <c r="M41" i="27"/>
  <c r="M40" i="27"/>
  <c r="M48" i="26"/>
  <c r="M47" i="26"/>
  <c r="M46" i="26"/>
  <c r="M45" i="26"/>
  <c r="M44" i="26"/>
  <c r="M43" i="26"/>
  <c r="M42" i="26"/>
  <c r="M41" i="26"/>
  <c r="M40" i="26"/>
  <c r="M35" i="27"/>
  <c r="M34" i="27"/>
  <c r="M33" i="27"/>
  <c r="M32" i="27"/>
  <c r="M31" i="27"/>
  <c r="M30" i="27"/>
  <c r="M29" i="27"/>
  <c r="M35" i="26"/>
  <c r="M34" i="26"/>
  <c r="M33" i="26"/>
  <c r="M32" i="26"/>
  <c r="M31" i="26"/>
  <c r="M30" i="26"/>
  <c r="M29" i="26"/>
  <c r="M25" i="27"/>
  <c r="M24" i="27"/>
  <c r="M23" i="27"/>
  <c r="M22" i="27"/>
  <c r="M21" i="27"/>
  <c r="M20" i="27"/>
  <c r="M19" i="27"/>
  <c r="M18" i="27"/>
  <c r="M25" i="26"/>
  <c r="M24" i="26"/>
  <c r="M23" i="26"/>
  <c r="M22" i="26"/>
  <c r="M21" i="26"/>
  <c r="M20" i="26"/>
  <c r="M19" i="26"/>
  <c r="M18" i="26"/>
  <c r="M79" i="25"/>
  <c r="M78" i="25"/>
  <c r="M77" i="25"/>
  <c r="M76" i="25"/>
  <c r="M75" i="25"/>
  <c r="M74" i="25"/>
  <c r="M73" i="25"/>
  <c r="M70" i="25"/>
  <c r="M69" i="25"/>
  <c r="M68" i="25"/>
  <c r="M67" i="25"/>
  <c r="M66" i="25"/>
  <c r="M65" i="25"/>
  <c r="M64" i="25"/>
  <c r="M63" i="25"/>
  <c r="M62" i="25"/>
  <c r="M57" i="25"/>
  <c r="M56" i="25"/>
  <c r="M55" i="25"/>
  <c r="M54" i="25"/>
  <c r="M53" i="25"/>
  <c r="M52" i="25"/>
  <c r="M51" i="25"/>
  <c r="M48" i="25"/>
  <c r="M47" i="25"/>
  <c r="M46" i="25"/>
  <c r="M45" i="25"/>
  <c r="M44" i="25"/>
  <c r="M43" i="25"/>
  <c r="M42" i="25"/>
  <c r="M41" i="25"/>
  <c r="M40" i="25"/>
  <c r="M35" i="25"/>
  <c r="M34" i="25"/>
  <c r="M33" i="25"/>
  <c r="M32" i="25"/>
  <c r="M31" i="25"/>
  <c r="M30" i="25"/>
  <c r="M29" i="25"/>
  <c r="M24" i="25"/>
  <c r="M23" i="25"/>
  <c r="M22" i="25"/>
  <c r="M21" i="25"/>
  <c r="M20" i="25"/>
  <c r="M19" i="25"/>
  <c r="M101" i="25"/>
  <c r="M100" i="25"/>
  <c r="M99" i="25"/>
  <c r="M98" i="25"/>
  <c r="M97" i="25"/>
  <c r="M96" i="25"/>
  <c r="M95" i="25"/>
  <c r="M92" i="25"/>
  <c r="M91" i="25"/>
  <c r="M90" i="25"/>
  <c r="M89" i="25"/>
  <c r="M88" i="25"/>
  <c r="M87" i="25"/>
  <c r="M86" i="25"/>
  <c r="M85" i="25"/>
  <c r="M84" i="25"/>
  <c r="M18" i="25"/>
  <c r="M133" i="27"/>
  <c r="M129" i="27"/>
  <c r="M130" i="27"/>
  <c r="M131" i="27"/>
  <c r="M132" i="27"/>
  <c r="M128" i="27"/>
  <c r="M127" i="27"/>
  <c r="M126" i="27"/>
  <c r="M119" i="27"/>
  <c r="M120" i="27"/>
  <c r="M121" i="27"/>
  <c r="M122" i="27"/>
  <c r="M123" i="27"/>
  <c r="M124" i="27"/>
  <c r="M125" i="27"/>
  <c r="M118" i="27"/>
  <c r="M133" i="26"/>
  <c r="M129" i="26"/>
  <c r="M130" i="26"/>
  <c r="M131" i="26"/>
  <c r="M132" i="26"/>
  <c r="M128" i="26"/>
  <c r="M127" i="26"/>
  <c r="M126" i="26"/>
  <c r="M119" i="26"/>
  <c r="M120" i="26"/>
  <c r="M121" i="26"/>
  <c r="M122" i="26"/>
  <c r="M123" i="26"/>
  <c r="M124" i="26"/>
  <c r="M125" i="26"/>
  <c r="M118" i="26"/>
  <c r="M133" i="25"/>
  <c r="M129" i="25"/>
  <c r="M130" i="25"/>
  <c r="M131" i="25"/>
  <c r="M132" i="25"/>
  <c r="M128" i="25"/>
  <c r="M127" i="25"/>
  <c r="M126" i="25"/>
  <c r="M119" i="25"/>
  <c r="M120" i="25"/>
  <c r="M121" i="25"/>
  <c r="M122" i="25"/>
  <c r="M123" i="25"/>
  <c r="M124" i="25"/>
  <c r="M125" i="25"/>
  <c r="M118" i="25"/>
  <c r="B14" i="28"/>
  <c r="B14" i="23"/>
  <c r="B14" i="2"/>
  <c r="E123" i="17"/>
  <c r="E18" i="22"/>
  <c r="C18" i="4"/>
  <c r="G54" i="29"/>
  <c r="G74" i="29" s="1"/>
  <c r="D56" i="20"/>
  <c r="E56" i="20"/>
  <c r="E73" i="17"/>
  <c r="E117" i="17" s="1"/>
  <c r="D73" i="17"/>
  <c r="F54" i="29"/>
  <c r="C24" i="4" s="1"/>
  <c r="G75" i="29"/>
  <c r="B10" i="28" s="1"/>
  <c r="G73" i="29"/>
  <c r="G72" i="29"/>
  <c r="E6" i="29"/>
  <c r="F27" i="22"/>
  <c r="C23" i="4"/>
  <c r="F26" i="22"/>
  <c r="F25" i="22"/>
  <c r="F24" i="22"/>
  <c r="M116" i="27"/>
  <c r="M115" i="27"/>
  <c r="M107" i="27"/>
  <c r="M106" i="27"/>
  <c r="J6" i="27"/>
  <c r="M116" i="26"/>
  <c r="M115" i="26"/>
  <c r="M107" i="26"/>
  <c r="M106" i="26"/>
  <c r="J6" i="26"/>
  <c r="M106" i="25"/>
  <c r="M107" i="25"/>
  <c r="M116" i="25"/>
  <c r="M115" i="25"/>
  <c r="J6" i="25"/>
  <c r="D6" i="20"/>
  <c r="E88" i="20"/>
  <c r="E86" i="20"/>
  <c r="B10" i="23" s="1"/>
  <c r="E82" i="20"/>
  <c r="E81" i="20"/>
  <c r="E80" i="20"/>
  <c r="E127" i="17"/>
  <c r="E126" i="17"/>
  <c r="E125" i="17"/>
  <c r="E124" i="17"/>
  <c r="E119" i="17"/>
  <c r="C12" i="4" s="1"/>
  <c r="E121" i="17"/>
  <c r="B10" i="2" s="1"/>
  <c r="E120" i="17"/>
  <c r="C17" i="4" s="1"/>
  <c r="C19" i="4"/>
  <c r="E116" i="17"/>
  <c r="E115" i="17"/>
  <c r="E114" i="17"/>
  <c r="C22" i="4"/>
  <c r="C21" i="4"/>
  <c r="C20" i="4"/>
  <c r="C14" i="4"/>
  <c r="C16" i="4"/>
  <c r="C15" i="4"/>
  <c r="E6" i="22"/>
  <c r="E71" i="20"/>
  <c r="D6" i="17"/>
  <c r="E87" i="20" l="1"/>
  <c r="E83" i="20"/>
  <c r="C9" i="4" s="1"/>
  <c r="C13" i="4"/>
  <c r="D85" i="4" s="1"/>
  <c r="G62" i="29" s="1"/>
  <c r="G76" i="29"/>
  <c r="E122" i="17"/>
  <c r="L105" i="27"/>
  <c r="L105" i="26"/>
  <c r="G77" i="29"/>
  <c r="L105" i="25"/>
  <c r="D80" i="4"/>
  <c r="F18" i="22" s="1"/>
  <c r="E69" i="20"/>
  <c r="C10" i="4"/>
  <c r="L109" i="25" l="1"/>
  <c r="L111" i="25" s="1"/>
  <c r="L109" i="27"/>
  <c r="L111" i="27" s="1"/>
  <c r="L109" i="26"/>
  <c r="L111" i="26" s="1"/>
  <c r="D84" i="4"/>
  <c r="G61" i="29" s="1"/>
  <c r="B5" i="28"/>
  <c r="B16" i="28" s="1"/>
  <c r="G65" i="29" s="1"/>
  <c r="D59" i="4"/>
  <c r="E70" i="20" s="1"/>
  <c r="B5" i="23"/>
  <c r="B3" i="4"/>
  <c r="B4" i="4"/>
  <c r="B5" i="4"/>
  <c r="B6" i="4"/>
  <c r="B16" i="23" l="1"/>
  <c r="E73" i="20" s="1"/>
  <c r="B5" i="2"/>
  <c r="B16" i="2" s="1"/>
  <c r="E107" i="17" s="1"/>
  <c r="D88" i="4"/>
  <c r="D90" i="4"/>
  <c r="D76" i="4"/>
  <c r="E101" i="17" s="1"/>
  <c r="E80" i="4"/>
  <c r="E78" i="4"/>
  <c r="E103" i="17" s="1"/>
  <c r="D77" i="4"/>
  <c r="E102" i="17" s="1"/>
  <c r="E77" i="4"/>
  <c r="D78" i="4"/>
  <c r="D56" i="4"/>
  <c r="D52" i="4"/>
  <c r="E68" i="20" s="1"/>
  <c r="D65" i="4"/>
  <c r="F20" i="22" s="1"/>
  <c r="D47" i="4"/>
  <c r="D51" i="4"/>
  <c r="D68" i="4"/>
  <c r="D58" i="4"/>
  <c r="D55" i="4"/>
  <c r="E67" i="20"/>
  <c r="D81" i="4"/>
  <c r="E100" i="17" s="1"/>
  <c r="E81" i="4"/>
  <c r="F86" i="4"/>
  <c r="G63" i="29" s="1"/>
  <c r="E76" i="4"/>
  <c r="E47" i="4"/>
  <c r="E51" i="4"/>
  <c r="E55" i="4"/>
  <c r="E68" i="4"/>
  <c r="E65" i="4"/>
  <c r="D46" i="4"/>
  <c r="D36" i="4"/>
  <c r="D34" i="4"/>
  <c r="E59" i="4"/>
  <c r="E58" i="4"/>
  <c r="E56" i="4"/>
  <c r="E52" i="4"/>
  <c r="D29" i="4"/>
  <c r="G58" i="29" l="1"/>
  <c r="G68" i="29" s="1"/>
  <c r="E66" i="20"/>
  <c r="E76" i="20" s="1"/>
  <c r="E79" i="4"/>
  <c r="E104" i="17" s="1"/>
  <c r="D79" i="4"/>
  <c r="E69" i="4"/>
  <c r="D69" i="4"/>
  <c r="E98" i="17" s="1"/>
  <c r="D37" i="4"/>
  <c r="E105" i="17" s="1"/>
  <c r="F81" i="4"/>
  <c r="F76" i="4"/>
  <c r="F55" i="4"/>
  <c r="F52" i="4"/>
  <c r="F65" i="4"/>
  <c r="F47" i="4"/>
  <c r="F58" i="4"/>
  <c r="F51" i="4"/>
  <c r="F56" i="4"/>
  <c r="F68" i="4"/>
  <c r="F59" i="4"/>
  <c r="F79" i="4" l="1"/>
  <c r="F78" i="4"/>
  <c r="F80" i="4"/>
  <c r="F69" i="4"/>
  <c r="F77" i="4"/>
  <c r="E118" i="17"/>
  <c r="C11" i="4" s="1"/>
  <c r="D67" i="4" s="1"/>
  <c r="E67" i="4" l="1"/>
  <c r="F67" i="4" l="1"/>
  <c r="E99" i="17"/>
  <c r="E95" i="17" s="1"/>
  <c r="E110" i="17" s="1"/>
</calcChain>
</file>

<file path=xl/sharedStrings.xml><?xml version="1.0" encoding="utf-8"?>
<sst xmlns="http://schemas.openxmlformats.org/spreadsheetml/2006/main" count="1797" uniqueCount="544">
  <si>
    <t>VALORES UNITÁRIOS (2026)</t>
  </si>
  <si>
    <r>
      <t>VU</t>
    </r>
    <r>
      <rPr>
        <b/>
        <vertAlign val="subscript"/>
        <sz val="11"/>
        <color theme="1"/>
        <rFont val="Aptos Narrow"/>
        <family val="2"/>
        <scheme val="minor"/>
      </rPr>
      <t>a</t>
    </r>
  </si>
  <si>
    <r>
      <t>VU</t>
    </r>
    <r>
      <rPr>
        <b/>
        <vertAlign val="subscript"/>
        <sz val="11"/>
        <color theme="1"/>
        <rFont val="Aptos Narrow"/>
        <family val="2"/>
        <scheme val="minor"/>
      </rPr>
      <t>o</t>
    </r>
  </si>
  <si>
    <r>
      <t>VU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</si>
  <si>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r>
      <t>VU</t>
    </r>
    <r>
      <rPr>
        <b/>
        <vertAlign val="subscript"/>
        <sz val="11"/>
        <color theme="1"/>
        <rFont val="Aptos Narrow"/>
        <family val="2"/>
        <scheme val="minor"/>
      </rPr>
      <t>triu</t>
    </r>
  </si>
  <si>
    <t>C1</t>
  </si>
  <si>
    <t>COEFICIENTE DA TAXA DE OCUPAÇÃO DO DOMINIO PÚBLICO E PRIVADO MUNICIPAL</t>
  </si>
  <si>
    <t>Qualificação de Espaço Urbano</t>
  </si>
  <si>
    <t>Espaços Consolidados: Espaços Centrais e Residenciais – Traçado Urbano A e B, Espaços Verdes de Recreio e Produção, Espaços Verdes de Proteção e Conservação, Espaços de Usos Especiais de Equipamentos, Espaços de Usos Especiais de Equipamentos (com Área verde Anexa), Espaços de Usos Especiais Ribeirinhos</t>
  </si>
  <si>
    <t>Espaços Consolidados: Espaços Centrais e Residenciais – Traçado Urbano C e D, Espaços de Atividades Económicas, Espaços Verdes de Enquadramento a Infraestruturas Viárias, Espaços Verdes Ribeirinhos, Espaços de Usos Especiais Infraestruturas, Espaços a Consolidar: Espaços Verdes de Recreio e Produção</t>
  </si>
  <si>
    <t>Espaços a Consolidar: Espaços Centrais e Residenciais, Espaços de Atividades Económicas, Espaços de Usos Especiais de Equipamentos e Espaços de Usos Especiais Ribeirinhos</t>
  </si>
  <si>
    <t>Na frente do prédio</t>
  </si>
  <si>
    <t>Outra localização</t>
  </si>
  <si>
    <t>Resguardo ou tapume (área ocupada)</t>
  </si>
  <si>
    <t>Andaime (metro linear)</t>
  </si>
  <si>
    <t>Tubos de descarga de entulhos (uni)</t>
  </si>
  <si>
    <t>Depósitos de entulho ou materiais</t>
  </si>
  <si>
    <t>Dentro do tapume (uni)</t>
  </si>
  <si>
    <t>Fora do tapume (uni)</t>
  </si>
  <si>
    <t>Outros equipamentos (uni)</t>
  </si>
  <si>
    <t>Gruas e guindastes (uni)</t>
  </si>
  <si>
    <t>Máquinas e aparelhos elevatórios (uni)</t>
  </si>
  <si>
    <t>Instalações: Stand de vendas (área)</t>
  </si>
  <si>
    <t>Instalações: Stand de vendas, escritórios, 
outras (uni)</t>
  </si>
  <si>
    <t>C2</t>
  </si>
  <si>
    <t>COEFICIENTE ADICIONAL DA TAXA PELA PRÁTICA DE ATOS ADMINISTRATIVOS E TÉCNICOS PARA O CONTROLO PRÉVIO DE OPERAÇÕES URBANÍSTICAS E ATIVIDADES CONEXAS</t>
  </si>
  <si>
    <t>Construção</t>
  </si>
  <si>
    <t>Ampliação</t>
  </si>
  <si>
    <t>Alteração</t>
  </si>
  <si>
    <t>Utiização</t>
  </si>
  <si>
    <t>C3</t>
  </si>
  <si>
    <t>COEFICIENTE QUE DIFERENCIA AS INTERVENÇÕES DE ACORDO COM A LOCALIZAÇÃO (QUALIFICAÇÃO DE ESPAÇO URBANO DO PDM)</t>
  </si>
  <si>
    <t>Espaços a Consolidar</t>
  </si>
  <si>
    <t>Espaços Consolidados</t>
  </si>
  <si>
    <t>Ea</t>
  </si>
  <si>
    <t>ESCALÃO DE ÁREA, DEFINIDO A PARTIR DA SUPERFÍCIE DE PAVIMENTO (ÁREA BRUTA DE CONSTRUÇÃO EXCLUINDO ÁREAS TÉCNICAS ACIMA DO SOLO), DA ÁREA BRUTA DO FOGO OU DA ÁREA DE CONSTRUÇÃO (MEDIDA EM M2), CONSOANTE A UNIDADE DE INTERVENÇÃO</t>
  </si>
  <si>
    <t>No caso de operação de loteamento ou de obras de edificação define-se consoante a unidade intervencionada (no mínimo fogo(s), piso(s) ou edifício(s)</t>
  </si>
  <si>
    <t>No caso das demolições (Artigo 27.º, n.º 1, c) e Artigo 27.º, n.º 2, b)) este escalão é aferido com base no número de pisos demolidos (no total de todas as edificações demolidas)</t>
  </si>
  <si>
    <t>No caso das Edificações Especiais (Artigo 28.º, n.º 2, f)) este escalão é aferido com base na área de impermeabilização</t>
  </si>
  <si>
    <t>&lt;= 100m2</t>
  </si>
  <si>
    <t>1 piso</t>
  </si>
  <si>
    <t>&gt; 100m2 &lt;= 600m2</t>
  </si>
  <si>
    <t>&gt; 1 piso até 4 pisos</t>
  </si>
  <si>
    <t>&gt; 100m2 &lt;= 500m2</t>
  </si>
  <si>
    <t>&gt; 600m2 &lt;= 1200m2</t>
  </si>
  <si>
    <t>&gt; 4 pisos e até 8 pisos</t>
  </si>
  <si>
    <t>&gt; 500m2 &lt;= 1250m2</t>
  </si>
  <si>
    <t>&gt; 1200m2 &lt;= 2500m2</t>
  </si>
  <si>
    <t>&gt; 8 pisos</t>
  </si>
  <si>
    <t>&gt; 1250m2</t>
  </si>
  <si>
    <t>&gt; 2500m2 &lt;= 5000m2</t>
  </si>
  <si>
    <t>&gt; 5000m2 &lt;= 10000m2</t>
  </si>
  <si>
    <t>&gt; 10000m2 &lt;= 20000m2</t>
  </si>
  <si>
    <t>&gt; 20000m2 &lt;= 40000m2</t>
  </si>
  <si>
    <t>&gt; 40000m2 &lt;= 80000m2</t>
  </si>
  <si>
    <t>&gt; 80000m2 &lt;= 160000m2</t>
  </si>
  <si>
    <t>&gt; 160000m2</t>
  </si>
  <si>
    <t>TRIU EDIFICAÇÃO</t>
  </si>
  <si>
    <t>A</t>
  </si>
  <si>
    <r>
      <t>Superfície de pavimento* (medida em 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), acrescida pela operação urbanistica</t>
    </r>
  </si>
  <si>
    <r>
      <t>C</t>
    </r>
    <r>
      <rPr>
        <b/>
        <vertAlign val="subscript"/>
        <sz val="14"/>
        <color theme="1"/>
        <rFont val="Aptos Narrow"/>
        <family val="2"/>
        <scheme val="minor"/>
      </rPr>
      <t>3</t>
    </r>
  </si>
  <si>
    <t>Coeficiente que diferencia as intervenções de acordo com a localização (Qualificação de espaço urbano do PDM)</t>
  </si>
  <si>
    <r>
      <t>Seleccionar valor do coeficiente C</t>
    </r>
    <r>
      <rPr>
        <b/>
        <vertAlign val="subscript"/>
        <sz val="11"/>
        <color theme="1"/>
        <rFont val="Aptos Narrow"/>
        <family val="2"/>
        <scheme val="minor"/>
      </rPr>
      <t>3</t>
    </r>
  </si>
  <si>
    <r>
      <t>VU</t>
    </r>
    <r>
      <rPr>
        <b/>
        <vertAlign val="subscript"/>
        <sz val="14"/>
        <color theme="1"/>
        <rFont val="Aptos Narrow"/>
        <family val="2"/>
        <scheme val="minor"/>
      </rPr>
      <t>triu</t>
    </r>
  </si>
  <si>
    <t>Valor Unitário atualizado anualmente, através do Regulamento do Orçamento do Município de Lisboa</t>
  </si>
  <si>
    <t>APURAMENTO</t>
  </si>
  <si>
    <t>TRIU LOTEAMENTOS</t>
  </si>
  <si>
    <t>TRIU UTILIZAÇÃO</t>
  </si>
  <si>
    <t>VALORES UNITÁRIOS</t>
  </si>
  <si>
    <r>
      <t>Vu</t>
    </r>
    <r>
      <rPr>
        <b/>
        <vertAlign val="subscript"/>
        <sz val="11"/>
        <color theme="1"/>
        <rFont val="Aptos Narrow"/>
        <family val="2"/>
        <scheme val="minor"/>
      </rPr>
      <t>o</t>
    </r>
  </si>
  <si>
    <t>VARIÁVEIS</t>
  </si>
  <si>
    <r>
      <t>Valor de E</t>
    </r>
    <r>
      <rPr>
        <b/>
        <vertAlign val="subscript"/>
        <sz val="11"/>
        <color theme="1"/>
        <rFont val="Aptos Narrow"/>
        <family val="2"/>
        <scheme val="minor"/>
      </rPr>
      <t>a</t>
    </r>
  </si>
  <si>
    <t>Operações de loteamento</t>
  </si>
  <si>
    <t>Edificação</t>
  </si>
  <si>
    <t>Demolição</t>
  </si>
  <si>
    <t>Edificações Especiais (piscinas)</t>
  </si>
  <si>
    <t>Utilização</t>
  </si>
  <si>
    <t>Prazo (T)</t>
  </si>
  <si>
    <t>N.º de meses para execução da obra (loteamentos)</t>
  </si>
  <si>
    <t>N.º de meses para execução da obra (edificação)</t>
  </si>
  <si>
    <t>Nº de meses para execução da obra (outros)</t>
  </si>
  <si>
    <r>
      <t>Coeficiente C</t>
    </r>
    <r>
      <rPr>
        <b/>
        <vertAlign val="subscript"/>
        <sz val="11"/>
        <color theme="1"/>
        <rFont val="Aptos Narrow"/>
        <family val="2"/>
        <scheme val="minor"/>
      </rPr>
      <t>2</t>
    </r>
  </si>
  <si>
    <r>
      <t xml:space="preserve">Valor de coeficiente </t>
    </r>
    <r>
      <rPr>
        <b/>
        <sz val="11"/>
        <color theme="1"/>
        <rFont val="Aptos Narrow"/>
        <family val="2"/>
        <scheme val="minor"/>
      </rPr>
      <t>C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(edificação)</t>
    </r>
  </si>
  <si>
    <r>
      <t xml:space="preserve">Valor de coeficiente </t>
    </r>
    <r>
      <rPr>
        <b/>
        <sz val="11"/>
        <color theme="1"/>
        <rFont val="Aptos Narrow"/>
        <family val="2"/>
        <scheme val="minor"/>
      </rPr>
      <t>C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(loteamentos)</t>
    </r>
  </si>
  <si>
    <t>Instalações Especiais</t>
  </si>
  <si>
    <t xml:space="preserve">Extensão do muro ou vedação </t>
  </si>
  <si>
    <r>
      <t>Introduza n.º de unidades postos combustíveis (n</t>
    </r>
    <r>
      <rPr>
        <vertAlign val="subscript"/>
        <sz val="11"/>
        <color theme="1"/>
        <rFont val="Aptos Narrow"/>
        <family val="2"/>
        <scheme val="minor"/>
      </rPr>
      <t>upc</t>
    </r>
    <r>
      <rPr>
        <sz val="11"/>
        <color theme="1"/>
        <rFont val="Aptos Narrow"/>
        <family val="2"/>
        <scheme val="minor"/>
      </rPr>
      <t>)</t>
    </r>
  </si>
  <si>
    <r>
      <t>Introduza n.º de unidades gás e/ou eletricidade (n</t>
    </r>
    <r>
      <rPr>
        <vertAlign val="subscript"/>
        <sz val="11"/>
        <color theme="1"/>
        <rFont val="Aptos Narrow"/>
        <family val="2"/>
        <scheme val="minor"/>
      </rPr>
      <t>upc</t>
    </r>
    <r>
      <rPr>
        <sz val="11"/>
        <color theme="1"/>
        <rFont val="Aptos Narrow"/>
        <family val="2"/>
        <scheme val="minor"/>
      </rPr>
      <t>)</t>
    </r>
  </si>
  <si>
    <r>
      <t>Introduza n.º de unidades lavagem de veículos (n</t>
    </r>
    <r>
      <rPr>
        <vertAlign val="subscript"/>
        <sz val="11"/>
        <color theme="1"/>
        <rFont val="Aptos Narrow"/>
        <family val="2"/>
        <scheme val="minor"/>
      </rPr>
      <t>upc</t>
    </r>
    <r>
      <rPr>
        <sz val="11"/>
        <color theme="1"/>
        <rFont val="Aptos Narrow"/>
        <family val="2"/>
        <scheme val="minor"/>
      </rPr>
      <t>)</t>
    </r>
  </si>
  <si>
    <r>
      <t>Introduza n.º de antenas (n</t>
    </r>
    <r>
      <rPr>
        <vertAlign val="subscript"/>
        <sz val="11"/>
        <color theme="1"/>
        <rFont val="Aptos Narrow"/>
        <family val="2"/>
        <scheme val="minor"/>
      </rPr>
      <t>at</t>
    </r>
    <r>
      <rPr>
        <sz val="11"/>
        <color theme="1"/>
        <rFont val="Aptos Narrow"/>
        <family val="2"/>
        <scheme val="minor"/>
      </rPr>
      <t>)</t>
    </r>
  </si>
  <si>
    <r>
      <t>Introduza o n.º de utilizações/frações (n</t>
    </r>
    <r>
      <rPr>
        <vertAlign val="subscript"/>
        <sz val="11"/>
        <color theme="1"/>
        <rFont val="Aptos Narrow"/>
        <family val="2"/>
        <scheme val="minor"/>
      </rPr>
      <t>u</t>
    </r>
    <r>
      <rPr>
        <sz val="11"/>
        <color theme="1"/>
        <rFont val="Aptos Narrow"/>
        <family val="2"/>
        <scheme val="minor"/>
      </rPr>
      <t>)</t>
    </r>
  </si>
  <si>
    <t>TAXA ADMINISTRATIVA</t>
  </si>
  <si>
    <t>Artigo</t>
  </si>
  <si>
    <t>Operação Urbanística</t>
  </si>
  <si>
    <t>Fórmula</t>
  </si>
  <si>
    <t>Total</t>
  </si>
  <si>
    <t>Parcela da taxa a pagar no momento de apresentação do pedido</t>
  </si>
  <si>
    <t>Parcela da taxa a pagar 
com a decisão do pedido</t>
  </si>
  <si>
    <t>SERVIÇOS ESPECIFICOS RELACIONADOS</t>
  </si>
  <si>
    <t>Artigo 13.º</t>
  </si>
  <si>
    <t>Certidão para efeitos de propriedade horizontal</t>
  </si>
  <si>
    <t>Certificação de estado de conservação</t>
  </si>
  <si>
    <t>Averbamentos ao Alvará de Utilização decorrentes de legislação específica</t>
  </si>
  <si>
    <t>Averbamentos de Substituição de requerente ou de técnico autor ou diretor de obra ou de empreiteiro</t>
  </si>
  <si>
    <t>Abertura de novo Livro de Obra</t>
  </si>
  <si>
    <r>
      <t>VU</t>
    </r>
    <r>
      <rPr>
        <strike/>
        <vertAlign val="subscript"/>
        <sz val="11"/>
        <color theme="1"/>
        <rFont val="Aptos Narrow"/>
        <family val="2"/>
        <scheme val="minor"/>
      </rPr>
      <t>a</t>
    </r>
  </si>
  <si>
    <t>Emissão de certidão de destaque</t>
  </si>
  <si>
    <r>
      <t>2 × VU</t>
    </r>
    <r>
      <rPr>
        <b/>
        <vertAlign val="subscript"/>
        <sz val="11"/>
        <color theme="1"/>
        <rFont val="Aptos Narrow"/>
        <family val="2"/>
        <scheme val="minor"/>
      </rPr>
      <t>a</t>
    </r>
  </si>
  <si>
    <t>Certidão de demolição</t>
  </si>
  <si>
    <t>Certificação de Parcela constituída por Plano de Pormenor, para efeitos registais</t>
  </si>
  <si>
    <r>
      <t>3 × VU</t>
    </r>
    <r>
      <rPr>
        <b/>
        <vertAlign val="subscript"/>
        <sz val="11"/>
        <color theme="1"/>
        <rFont val="Aptos Narrow"/>
        <family val="2"/>
        <scheme val="minor"/>
      </rPr>
      <t>a</t>
    </r>
  </si>
  <si>
    <t>Marcação de alinhamento e nivelamento (terreno)</t>
  </si>
  <si>
    <r>
      <t>4 × E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× VU</t>
    </r>
    <r>
      <rPr>
        <b/>
        <vertAlign val="subscript"/>
        <sz val="11"/>
        <color theme="1"/>
        <rFont val="Aptos Narrow"/>
        <family val="2"/>
        <scheme val="minor"/>
      </rPr>
      <t>a</t>
    </r>
  </si>
  <si>
    <t>PEDIDOS DE INFORMAÇÃO PRÉVIA</t>
  </si>
  <si>
    <t>Artigo 25.º, b)</t>
  </si>
  <si>
    <t>Pedido de informação prévia sobre realização de obras de edificação</t>
  </si>
  <si>
    <t>Artigo 25.º, a)</t>
  </si>
  <si>
    <t>Pedido de informação prévia sobre realização duma operação de loteamento, de obras de urbanização ou de trabalhos de remodelação de terrenos</t>
  </si>
  <si>
    <r>
      <t>4 × VU</t>
    </r>
    <r>
      <rPr>
        <b/>
        <vertAlign val="subscript"/>
        <sz val="11"/>
        <color theme="1"/>
        <rFont val="Aptos Narrow"/>
        <family val="2"/>
        <scheme val="minor"/>
      </rPr>
      <t>a</t>
    </r>
  </si>
  <si>
    <t>OPERAÇÕES DE LOTEAMENTO, OBRAS DE URBANIZAÇÃO E TRABALHOS DE REMODELAÇÃOS DE TERRENOS</t>
  </si>
  <si>
    <t>Artigo 26.º, n.º 2, d)</t>
  </si>
  <si>
    <t>Pelo pedido de emissão de alvará de licença ou o seu aditamento de Obras de Urbanização e Trabalhos de Remodelação de Terrenos</t>
  </si>
  <si>
    <t>Artigo 26.º, n.º 2, a)</t>
  </si>
  <si>
    <t>Aditamento aos projetos de loteamento ou de obras de urbanização</t>
  </si>
  <si>
    <t>Pedido de emissão de alvará de licença ou o seu aditamento de Operações de Loteamento em operações de loteamento que constituam menos de 10 lotes</t>
  </si>
  <si>
    <t>Pedido de emissão de alvará de licença ou o seu aditamento de Operações de Loteamento em operações de loteamento que constituam 10 ou mais lotes</t>
  </si>
  <si>
    <t>Artigo 26.º, n.º 2, g)</t>
  </si>
  <si>
    <t>Receção provisória ou definitiva de obras de urbanização</t>
  </si>
  <si>
    <t>Artigo 26.º, n.º 1, d)
Artigo 26.º, n.º 2, c)</t>
  </si>
  <si>
    <t xml:space="preserve">Trabalhos de remodelação de terrenos e o aditamento de alteração </t>
  </si>
  <si>
    <r>
      <rPr>
        <b/>
        <sz val="11"/>
        <color theme="1"/>
        <rFont val="Aptos Narrow"/>
        <family val="2"/>
        <scheme val="minor"/>
      </rPr>
      <t>(2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</si>
  <si>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26.º, n.º 1, g)</t>
  </si>
  <si>
    <t>Licença especial para a conclusão de obras de remodelação de terrenos inacabadas nos termos do artigo 88.º do RJUE</t>
  </si>
  <si>
    <r>
      <t>(2 × VU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)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</si>
  <si>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26.º, n.º 2, b)</t>
  </si>
  <si>
    <t>Renovação da licença ou da admissão de comunicação para trabalhos de remodelação de terrenos não incluídas em loteamento</t>
  </si>
  <si>
    <t>Artigo 26.º, n.º 2, f)</t>
  </si>
  <si>
    <t>1ª prorrogação do prazo de execução das obras de urbanização ou de trabalhos de remodelação de terrenos</t>
  </si>
  <si>
    <t>2ª prorrogação do prazo de execução das obras de urbanização ou de trabalhos de remodelação de terrenos</t>
  </si>
  <si>
    <r>
      <rPr>
        <b/>
        <sz val="11"/>
        <color theme="1"/>
        <rFont val="Aptos Narrow"/>
        <family val="2"/>
        <scheme val="minor"/>
      </rPr>
      <t>(2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+ (T × 1,2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</si>
  <si>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26.º, n.º 1, c)
Artigo 26.º, n.º 2, c)</t>
  </si>
  <si>
    <t>Execução de obras de urbanização não incluídas em loteamento e o aditamento de alteração</t>
  </si>
  <si>
    <r>
      <rPr>
        <b/>
        <sz val="11"/>
        <color theme="1"/>
        <rFont val="Aptos Narrow"/>
        <family val="2"/>
        <scheme val="minor"/>
      </rPr>
      <t>(3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</si>
  <si>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Renovação da licença ou da admissão de comunicação para execução das obras de urbanização não incluídas em loteamento</t>
  </si>
  <si>
    <r>
      <t>(3 × VU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)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</si>
  <si>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26.º, n.º 1, e)
Artigo 26.º, n.º 2, c)</t>
  </si>
  <si>
    <t>Obras de urbanização, em área abrangida por operação de loteamento e o aditamento de alteração</t>
  </si>
  <si>
    <t>Artigo 26.º, n.º 1, f)</t>
  </si>
  <si>
    <t>Licença especial para a conclusão das obras de urbanização inacabadas nos termos do artigo 88.º do RJUE</t>
  </si>
  <si>
    <t>Renovação da licença ou da admissão de comunicação de loteamento com obras de urbanização</t>
  </si>
  <si>
    <r>
      <rPr>
        <b/>
        <sz val="11"/>
        <color theme="1"/>
        <rFont val="Aptos Narrow"/>
        <family val="2"/>
        <scheme val="minor"/>
      </rPr>
      <t>(3 × E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×  C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</si>
  <si>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26.º, n.º 3</t>
  </si>
  <si>
    <t>Pedido de alvará de licença de loteamento com execução das obras de urbanização por fases (conforme parâmetros de cada fase)</t>
  </si>
  <si>
    <t>Artigo 26.º, n.º 1, a)
Artigo 26.º, n.º 2, c)</t>
  </si>
  <si>
    <t>Loteamento sem obras de urbanização e o aditamento de alteração</t>
  </si>
  <si>
    <r>
      <rPr>
        <b/>
        <sz val="11"/>
        <color theme="1"/>
        <rFont val="Aptos Narrow"/>
        <family val="2"/>
        <scheme val="minor"/>
      </rPr>
      <t>(5 × E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× C</t>
    </r>
    <r>
      <rPr>
        <vertAlign val="subscript"/>
        <sz val="11"/>
        <color theme="1"/>
        <rFont val="Aptos Narrow"/>
        <family val="2"/>
        <scheme val="minor"/>
      </rPr>
      <t>2</t>
    </r>
  </si>
  <si>
    <t>Artigo 26.º, n.º 1, b)
Artigo 26.º, n.º 2, c)</t>
  </si>
  <si>
    <t>Loteamento com obras de urbanização e o aditamento de alteração</t>
  </si>
  <si>
    <r>
      <rPr>
        <b/>
        <sz val="11"/>
        <color theme="1"/>
        <rFont val="Aptos Narrow"/>
        <family val="2"/>
        <scheme val="minor"/>
      </rPr>
      <t>(5 × E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× C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</si>
  <si>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26.º, n.º 2, e)</t>
  </si>
  <si>
    <t>Pedido de alteração à operação de loteamento durante a execução de obras de urbanização</t>
  </si>
  <si>
    <r>
      <t>(5 × E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 xml:space="preserve"> × VU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) × C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</si>
  <si>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 xml:space="preserve"> </t>
  </si>
  <si>
    <t>OBRAS DE EDIFICAÇÃO E DEMOLIÇÃO</t>
  </si>
  <si>
    <t>Artigo 27.º, n.º 2, a)</t>
  </si>
  <si>
    <t>Aditamento aos projetos de arquitetura ou de especialidades</t>
  </si>
  <si>
    <r>
      <t>VU</t>
    </r>
    <r>
      <rPr>
        <vertAlign val="subscript"/>
        <sz val="11"/>
        <color theme="1"/>
        <rFont val="Aptos Narrow"/>
        <family val="2"/>
        <scheme val="minor"/>
      </rPr>
      <t>a</t>
    </r>
  </si>
  <si>
    <t>Artigo 27.º, n.º 2, c)</t>
  </si>
  <si>
    <t xml:space="preserve">Pedido de emissão de alvará de licença de obras de edificação ou de demolição </t>
  </si>
  <si>
    <t>Artigo 27.º, n.º 2, f)</t>
  </si>
  <si>
    <t>Pedido de antecipação de trabalhos de demolição ou escavação e contenção periférica</t>
  </si>
  <si>
    <r>
      <t>2 × VU</t>
    </r>
    <r>
      <rPr>
        <vertAlign val="subscript"/>
        <sz val="11"/>
        <color theme="1"/>
        <rFont val="Aptos Narrow"/>
        <family val="2"/>
        <scheme val="minor"/>
      </rPr>
      <t>a</t>
    </r>
  </si>
  <si>
    <t>Artigo 27.º, n.º 2, e)</t>
  </si>
  <si>
    <t>1ª prorrogação de prazo de execução das obras de edificação</t>
  </si>
  <si>
    <t>2ª prorrogação de prazo de execução das obras de edificação</t>
  </si>
  <si>
    <r>
      <t>(2 × VU</t>
    </r>
    <r>
      <rPr>
        <strike/>
        <vertAlign val="subscript"/>
        <sz val="11"/>
        <color theme="1"/>
        <rFont val="Aptos Narrow"/>
        <family val="2"/>
        <scheme val="minor"/>
      </rPr>
      <t>a</t>
    </r>
    <r>
      <rPr>
        <strike/>
        <sz val="11"/>
        <color theme="1"/>
        <rFont val="Aptos Narrow"/>
        <family val="2"/>
        <scheme val="minor"/>
      </rPr>
      <t>) + (T × 1,2 × VU</t>
    </r>
    <r>
      <rPr>
        <strike/>
        <vertAlign val="subscript"/>
        <sz val="11"/>
        <color theme="1"/>
        <rFont val="Aptos Narrow"/>
        <family val="2"/>
        <scheme val="minor"/>
      </rPr>
      <t>t</t>
    </r>
    <r>
      <rPr>
        <strike/>
        <sz val="11"/>
        <color theme="1"/>
        <rFont val="Aptos Narrow"/>
        <family val="2"/>
        <scheme val="minor"/>
      </rPr>
      <t>)</t>
    </r>
  </si>
  <si>
    <t>Artigo 27.º, n.º 1, c)
Artigo 27.º, n.º 2, b)</t>
  </si>
  <si>
    <t>Obras de demolição e o aditamento de alteração</t>
  </si>
  <si>
    <r>
      <rPr>
        <b/>
        <sz val="11"/>
        <color theme="1"/>
        <rFont val="Aptos Narrow"/>
        <family val="2"/>
        <scheme val="minor"/>
      </rPr>
      <t>(3 × E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</si>
  <si>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27.º, n.º 1, d)</t>
  </si>
  <si>
    <t>Licença especial para conclusão de obras de edificação inacabadas</t>
  </si>
  <si>
    <r>
      <rPr>
        <b/>
        <sz val="11"/>
        <color theme="1"/>
        <rFont val="Aptos Narrow"/>
        <family val="2"/>
        <scheme val="minor"/>
      </rPr>
      <t>(4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</si>
  <si>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27.º, n.º 1, a)
Artigo 27.º, n.º 2, b)</t>
  </si>
  <si>
    <t>Obras de edificação e o aditamento de alteração</t>
  </si>
  <si>
    <r>
      <rPr>
        <b/>
        <sz val="11"/>
        <color theme="1"/>
        <rFont val="Aptos Narrow"/>
        <family val="2"/>
        <scheme val="minor"/>
      </rPr>
      <t>(4 × E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× C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</si>
  <si>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27.º, n.º 1, b)
Artigo 27.º, n.º 2, b)</t>
  </si>
  <si>
    <t>Obras de edificação com impactes semelhantes a loteamento e o aditamento de alteração</t>
  </si>
  <si>
    <r>
      <t>(4 × E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 xml:space="preserve"> × VU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) × C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</si>
  <si>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27.º, n.º 2, d)</t>
  </si>
  <si>
    <t>Pedido de alteração à comunicação ou à licença de obras de edificação durante a execução de obras</t>
  </si>
  <si>
    <t>Artigo 27.º, n.º 2, g)</t>
  </si>
  <si>
    <t>Pedido de renovação da licença (ou autorização) e da admissão da comunicação de obras de edificação</t>
  </si>
  <si>
    <t>Pedido de renovação da licença (ou autorização) e da admissão da comunicação de obras de edificação com impactes semelhantes a loteamento</t>
  </si>
  <si>
    <t>OBRAS DE EDIFICAÇÃO DE INSTALAÇÕES ESPECIAIS</t>
  </si>
  <si>
    <t>Artigo 28.º, n.º 1, a) a d)</t>
  </si>
  <si>
    <t>Pedido de informação prévia sobre realização de obras de edificação, nos casos particulares</t>
  </si>
  <si>
    <r>
      <t>3 × VU</t>
    </r>
    <r>
      <rPr>
        <vertAlign val="subscript"/>
        <sz val="11"/>
        <color theme="1"/>
        <rFont val="Aptos Narrow"/>
        <family val="2"/>
        <scheme val="minor"/>
      </rPr>
      <t>a</t>
    </r>
  </si>
  <si>
    <t>Artigo 28.º, n.º 2, a)
Artigo 28.º, n.º 3, b)</t>
  </si>
  <si>
    <t>Construção ou de alteração de muros de suporte ou vedações e o aditamento de alteração</t>
  </si>
  <si>
    <r>
      <rPr>
        <b/>
        <sz val="11"/>
        <color theme="1"/>
        <rFont val="Aptos Narrow"/>
        <family val="2"/>
        <scheme val="minor"/>
      </rPr>
      <t>(2 × L/10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</si>
  <si>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28.º, n.º 2, b)
Artigo 28.º, n.º 3, b)</t>
  </si>
  <si>
    <t>Obras de edificação de postos de abastecimento de combustíveis e o aditamento de alteração</t>
  </si>
  <si>
    <r>
      <rPr>
        <b/>
        <sz val="11"/>
        <color theme="1"/>
        <rFont val="Aptos Narrow"/>
        <family val="2"/>
        <scheme val="minor"/>
      </rPr>
      <t>2 × (1 + 1/4(n</t>
    </r>
    <r>
      <rPr>
        <b/>
        <vertAlign val="subscript"/>
        <sz val="11"/>
        <color theme="1"/>
        <rFont val="Aptos Narrow"/>
        <family val="2"/>
        <scheme val="minor"/>
      </rPr>
      <t>upc</t>
    </r>
    <r>
      <rPr>
        <b/>
        <sz val="11"/>
        <color theme="1"/>
        <rFont val="Aptos Narrow"/>
        <family val="2"/>
        <scheme val="minor"/>
      </rPr>
      <t xml:space="preserve"> - 1))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</si>
  <si>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28.º, n.º 2, c)
Artigo 28.º, n.º 3, b)</t>
  </si>
  <si>
    <t>Instalação de unidades de abastecimento para gás e/ou eletricidade e o aditamento de alteração</t>
  </si>
  <si>
    <r>
      <rPr>
        <b/>
        <sz val="11"/>
        <color theme="1"/>
        <rFont val="Aptos Narrow"/>
        <family val="2"/>
        <scheme val="minor"/>
      </rPr>
      <t>2 × (1 + 1/4(n</t>
    </r>
    <r>
      <rPr>
        <b/>
        <vertAlign val="subscript"/>
        <sz val="11"/>
        <color theme="1"/>
        <rFont val="Aptos Narrow"/>
        <family val="2"/>
        <scheme val="minor"/>
      </rPr>
      <t>upc</t>
    </r>
    <r>
      <rPr>
        <b/>
        <sz val="11"/>
        <color theme="1"/>
        <rFont val="Aptos Narrow"/>
        <family val="2"/>
        <scheme val="minor"/>
      </rPr>
      <t xml:space="preserve"> - 1))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</si>
  <si>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28.º, n.º 2, d)
Artigo 28.º, n.º 3, b)</t>
  </si>
  <si>
    <t>Instalação de unidades de lavagem de veículos e o aditamento de alteração</t>
  </si>
  <si>
    <t>Artigo 28.º, n.º 2, e)
Artigo 28.º, n.º 3, b)</t>
  </si>
  <si>
    <t>Bases de sustentação de antenas de telecomunicações e o aditamento de alteração</t>
  </si>
  <si>
    <r>
      <rPr>
        <b/>
        <sz val="11"/>
        <color theme="1"/>
        <rFont val="Aptos Narrow"/>
        <family val="2"/>
        <scheme val="minor"/>
      </rPr>
      <t>2 × (1 + 1/4(n</t>
    </r>
    <r>
      <rPr>
        <b/>
        <vertAlign val="subscript"/>
        <sz val="11"/>
        <color theme="1"/>
        <rFont val="Aptos Narrow"/>
        <family val="2"/>
        <scheme val="minor"/>
      </rPr>
      <t>at</t>
    </r>
    <r>
      <rPr>
        <b/>
        <sz val="11"/>
        <color theme="1"/>
        <rFont val="Aptos Narrow"/>
        <family val="2"/>
        <scheme val="minor"/>
      </rPr>
      <t xml:space="preserve"> - 1))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 xml:space="preserve"> + (T × VU</t>
    </r>
    <r>
      <rPr>
        <vertAlign val="subscript"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)</t>
    </r>
  </si>
  <si>
    <t>Artigo 28.º, n.º 2, f)
Artigo 28.º, n.º 3, b)</t>
  </si>
  <si>
    <t>Construção e de alteração ou demolição de piscinas ou tanques, de campos de jogos ou outros recintos e o aditamento de alteração</t>
  </si>
  <si>
    <r>
      <rPr>
        <b/>
        <sz val="11"/>
        <color theme="1"/>
        <rFont val="Aptos Narrow"/>
        <family val="2"/>
        <scheme val="minor"/>
      </rPr>
      <t>(3 × E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) </t>
    </r>
    <r>
      <rPr>
        <sz val="11"/>
        <color theme="1"/>
        <rFont val="Aptos Narrow"/>
        <family val="2"/>
        <scheme val="minor"/>
      </rPr>
      <t>× C</t>
    </r>
    <r>
      <rPr>
        <vertAlign val="subscript"/>
        <sz val="11"/>
        <color theme="1"/>
        <rFont val="Aptos Narrow"/>
        <family val="2"/>
        <scheme val="minor"/>
      </rPr>
      <t>2</t>
    </r>
  </si>
  <si>
    <t>UTILIZAÇÃO DE EDIFICIOS OU SUAS FRAÇÕES</t>
  </si>
  <si>
    <t>Artigo 29.º, n.º 1, c)</t>
  </si>
  <si>
    <t>Pedido de emissão de alvará de autorização de utilização</t>
  </si>
  <si>
    <t>Artigo 29.º, n.º 1, a) e b)</t>
  </si>
  <si>
    <t>Pedido de admissão de comunicação ou de alvará de autorização de utilização de edifícios ou suas frações e alteração de utilização sem realização de obras ou com obras isentas de comunicação e licença</t>
  </si>
  <si>
    <r>
      <t>(3 × E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</si>
  <si>
    <t>Pedido de comunicação ou de alvará de autorização de utilização nos casos abrangidos por legislaçao especial</t>
  </si>
  <si>
    <r>
      <t>(4 × E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× VU</t>
    </r>
    <r>
      <rPr>
        <b/>
        <vertAlign val="subscript"/>
        <sz val="11"/>
        <color theme="1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>)</t>
    </r>
  </si>
  <si>
    <t>Artigo 29.º, n.º 1, a) e b)
Artigo 13.º, n.º 1 e 4</t>
  </si>
  <si>
    <t>Acresce quando a emissão do alvará de autorização de utilização está condicionada pela realização de vistoria (acrescido de valor cmplementar devido por cada fogo ou unidade de ocupação, para além da 1ª)</t>
  </si>
  <si>
    <r>
      <t>(n</t>
    </r>
    <r>
      <rPr>
        <vertAlign val="subscript"/>
        <sz val="11"/>
        <color theme="1"/>
        <rFont val="Aptos Narrow"/>
        <family val="2"/>
        <scheme val="minor"/>
      </rPr>
      <t>u</t>
    </r>
    <r>
      <rPr>
        <sz val="11"/>
        <color theme="1"/>
        <rFont val="Aptos Narrow"/>
        <family val="2"/>
        <scheme val="minor"/>
      </rPr>
      <t>+4) x (VU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)/10</t>
    </r>
  </si>
  <si>
    <t>OCUPAÇÃO DO DOMÍNIMO PÚBLICO E PRIVADO MUNICIPAL</t>
  </si>
  <si>
    <t>Artigo 31.º, n..º 1, a)</t>
  </si>
  <si>
    <t>Pedido de Licença de Ocupação do Dominio Público e Privado Municipal, bem como do seu aditamento</t>
  </si>
  <si>
    <t>Artigo 31.º, n..º 1, b)</t>
  </si>
  <si>
    <t>Aditamento à licença para alteração da ocupação</t>
  </si>
  <si>
    <t>Artigo 31.º, n..º 1, c)</t>
  </si>
  <si>
    <t>Pedido de Prorrogação do prazo de Licença de Ocupação do Dominio Público e Privado Municipal</t>
  </si>
  <si>
    <t>SIMULADOR DE TAXAS URBANÍSTICAS | 2026</t>
  </si>
  <si>
    <r>
      <t xml:space="preserve">O presente simulador foi elaborado com o intuito de facilitar a interpretação do </t>
    </r>
    <r>
      <rPr>
        <b/>
        <sz val="11"/>
        <color theme="1"/>
        <rFont val="Aptos Display"/>
        <family val="2"/>
        <scheme val="major"/>
      </rPr>
      <t xml:space="preserve">Regulamento Municipal de Taxas Relacionadas com a Atividade Urbanística e Operações Conexas (RMTRAUOC) </t>
    </r>
    <r>
      <rPr>
        <sz val="11"/>
        <color theme="1"/>
        <rFont val="Aptos Display"/>
        <family val="2"/>
        <scheme val="major"/>
      </rPr>
      <t xml:space="preserve">- alteração aprovada na reunião de 24 de julho de 2012, através da deliberação n.º 48/AML/2012 - </t>
    </r>
    <r>
      <rPr>
        <b/>
        <sz val="11"/>
        <color theme="1"/>
        <rFont val="Aptos Display"/>
        <family val="2"/>
        <scheme val="major"/>
      </rPr>
      <t xml:space="preserve"> </t>
    </r>
    <r>
      <rPr>
        <sz val="11"/>
        <color theme="1"/>
        <rFont val="Aptos Display"/>
        <family val="2"/>
        <scheme val="major"/>
      </rPr>
      <t>permitindo uma aplicação das suas regras de forma mais objetiva, clara e funcional.</t>
    </r>
  </si>
  <si>
    <t>Consulte aqui o Regulamento Municipal de Taxas Relacionadas com a Atividade Urbanística e Operações Conexas (RMTRAUOC)</t>
  </si>
  <si>
    <t>A PRESENTE VERSÃO DO SIMULADOR ENCONTRA‑SE CONFIGURADA PARA EFETUAR OS CÁLCULOS COM BASE NOS VALORES UNITÁRIOS ESTABELECIDOS PARA O ANO CIVIL DE 2026.</t>
  </si>
  <si>
    <t>Para efeitos de atualização, recomenda‑se a consulta regular da página oficial da Câmara Municipal de Lisboa, onde poderá sempre encontrar a versão mais recente do simulador.</t>
  </si>
  <si>
    <r>
      <t xml:space="preserve">Os valores unitários atualizados através do </t>
    </r>
    <r>
      <rPr>
        <b/>
        <u/>
        <sz val="11"/>
        <rFont val="Aptos Narrow"/>
        <family val="2"/>
        <scheme val="minor"/>
      </rPr>
      <t>Regulamento do Orçamento do Município de Lisboa para 2026</t>
    </r>
    <r>
      <rPr>
        <sz val="11"/>
        <rFont val="Aptos Narrow"/>
        <family val="2"/>
        <scheme val="minor"/>
      </rPr>
      <t>, são os seguintes:</t>
    </r>
  </si>
  <si>
    <r>
      <t>VU</t>
    </r>
    <r>
      <rPr>
        <b/>
        <vertAlign val="subscript"/>
        <sz val="11"/>
        <rFont val="Aptos Narrow"/>
        <family val="2"/>
        <scheme val="minor"/>
      </rPr>
      <t>a</t>
    </r>
  </si>
  <si>
    <r>
      <t>VU</t>
    </r>
    <r>
      <rPr>
        <b/>
        <vertAlign val="subscript"/>
        <sz val="11"/>
        <rFont val="Aptos Narrow"/>
        <family val="2"/>
        <scheme val="minor"/>
      </rPr>
      <t>o</t>
    </r>
  </si>
  <si>
    <r>
      <t>VU</t>
    </r>
    <r>
      <rPr>
        <b/>
        <vertAlign val="subscript"/>
        <sz val="11"/>
        <rFont val="Aptos Narrow"/>
        <family val="2"/>
        <scheme val="minor"/>
      </rPr>
      <t>t</t>
    </r>
    <r>
      <rPr>
        <b/>
        <sz val="11"/>
        <rFont val="Aptos Narrow"/>
        <family val="2"/>
        <scheme val="minor"/>
      </rPr>
      <t xml:space="preserve"> </t>
    </r>
  </si>
  <si>
    <r>
      <t>VU</t>
    </r>
    <r>
      <rPr>
        <b/>
        <vertAlign val="subscript"/>
        <sz val="11"/>
        <rFont val="Aptos Narrow"/>
        <family val="2"/>
        <scheme val="minor"/>
      </rPr>
      <t>triu</t>
    </r>
  </si>
  <si>
    <t>Em que:</t>
  </si>
  <si>
    <r>
      <t>VU</t>
    </r>
    <r>
      <rPr>
        <vertAlign val="subscript"/>
        <sz val="9"/>
        <rFont val="Aptos Narrow"/>
        <family val="2"/>
        <scheme val="minor"/>
      </rPr>
      <t>a</t>
    </r>
    <r>
      <rPr>
        <sz val="9"/>
        <rFont val="Aptos Narrow"/>
        <family val="2"/>
        <scheme val="minor"/>
      </rPr>
      <t xml:space="preserve">  -  Encargos com serviços administrativos</t>
    </r>
  </si>
  <si>
    <r>
      <t>VU</t>
    </r>
    <r>
      <rPr>
        <vertAlign val="subscript"/>
        <sz val="9"/>
        <rFont val="Aptos Narrow"/>
        <family val="2"/>
        <scheme val="minor"/>
      </rPr>
      <t>o</t>
    </r>
    <r>
      <rPr>
        <sz val="9"/>
        <rFont val="Aptos Narrow"/>
        <family val="2"/>
        <scheme val="minor"/>
      </rPr>
      <t xml:space="preserve">  -  Ocupação do domínio público e privado municipal</t>
    </r>
  </si>
  <si>
    <r>
      <t>VU</t>
    </r>
    <r>
      <rPr>
        <vertAlign val="subscript"/>
        <sz val="9"/>
        <rFont val="Aptos Narrow"/>
        <family val="2"/>
        <scheme val="minor"/>
      </rPr>
      <t>t</t>
    </r>
    <r>
      <rPr>
        <sz val="9"/>
        <rFont val="Aptos Narrow"/>
        <family val="2"/>
        <scheme val="minor"/>
      </rPr>
      <t xml:space="preserve">  -  Adicional de desincentivo sobre o tempo de duração duma obra para realização de operação urbanística</t>
    </r>
  </si>
  <si>
    <r>
      <t>VU</t>
    </r>
    <r>
      <rPr>
        <vertAlign val="subscript"/>
        <sz val="9"/>
        <rFont val="Aptos Narrow"/>
        <family val="2"/>
        <scheme val="minor"/>
      </rPr>
      <t>triu</t>
    </r>
    <r>
      <rPr>
        <sz val="9"/>
        <rFont val="Aptos Narrow"/>
        <family val="2"/>
        <scheme val="minor"/>
      </rPr>
      <t xml:space="preserve">  -   Realização, manutenção e reforço de infraestruturas urbanísticas</t>
    </r>
  </si>
  <si>
    <t>Este simulador permite estimar/simular:</t>
  </si>
  <si>
    <t>→</t>
  </si>
  <si>
    <t>Taxas correspondentes à atividade administrativa (Taxas Administrativas)</t>
  </si>
  <si>
    <t>Devida pela prática de atos administrativos, emissão de informações prévias, receção de comunicações, realização de serviços específicos e de vistorias, identificados no presente Regulamento, e incidindo sobre os benefícios prestados aos particulares</t>
  </si>
  <si>
    <t>Taxa pela realização, manutenção e reforço de infraestruturas urbanísticas (TRIU)</t>
  </si>
  <si>
    <r>
      <t xml:space="preserve">Taxa devida pelas operações de loteamento, de construção, reconstrução ou ampliação e alteração de usos que provoquem sobrecargas urbanísticas, destinada a remunerar o investimento público em projetos e obras relativas a realização, manutenção e reforço de infraestruturas urbanísticas primárias e secundárias - aplica-se </t>
    </r>
    <r>
      <rPr>
        <b/>
        <sz val="11"/>
        <color theme="1"/>
        <rFont val="Aptos Display"/>
        <family val="2"/>
        <scheme val="major"/>
      </rPr>
      <t>sempre que da operação urbanística resulta uma 'Superfície de Pavimento'* superior à pré-existente</t>
    </r>
    <r>
      <rPr>
        <sz val="11"/>
        <color theme="1"/>
        <rFont val="Aptos Display"/>
        <family val="2"/>
        <scheme val="major"/>
      </rPr>
      <t xml:space="preserve"> (de acordo com o antecedente legal válido)</t>
    </r>
  </si>
  <si>
    <r>
      <rPr>
        <b/>
        <sz val="9"/>
        <color theme="1"/>
        <rFont val="Aptos Display"/>
        <family val="2"/>
        <scheme val="major"/>
      </rPr>
      <t>* Superfície de Pavimento (SP):</t>
    </r>
    <r>
      <rPr>
        <sz val="9"/>
        <color theme="1"/>
        <rFont val="Aptos Display"/>
        <family val="2"/>
        <scheme val="major"/>
      </rPr>
      <t xml:space="preserve"> Corresponde à área, abaixo ou acima da cota de soleira, medida em m2, pelo perímetro exterior das paredes exteriores, destinada aos diferentes usos previstos no plano: habitação, comércio, serviços, turismo, indústria compatível, logística e equipamentos privados, incluindo armazéns e arrecadações e excluindo varandas, áreas em sótão e em cave sem pé direito regulamentar e espaços exteriores cobertos de utilização coletiva (alpendres, telheiros e terraços cobertos)</t>
    </r>
  </si>
  <si>
    <t>Taxa pela ocupação do domínio público e privado municipal decorrente de operação urbanística (OVP)</t>
  </si>
  <si>
    <t>Taxa devida pela ocupação do domínio público e ou privado municipal, destinada a remunerar a sua utilização privativa, quando as condições a observar na execução das operações urbanísticas de obras de urbanização, trabalhos de remodelação de terrenos, obras de edificação ou de demolição incluam a referida ocupação, a qual não deve conter as áreas da infraestrutura ou do espaço público objeto de obra de criação ou transformação.</t>
  </si>
  <si>
    <t>Este simulador NÃO permite estimar/simular valores referentes a compensações urbanísticas</t>
  </si>
  <si>
    <t>INSTRUÇÕES DE UTILIZAÇÃO</t>
  </si>
  <si>
    <t>•</t>
  </si>
  <si>
    <t>A navegação no simulador encontra‑se organizada em cinco áreas temáticas distintas, permitindo ao utilizador selecionar o contexto aplicável à sua operação urbanística. Esta estrutura facilita uma utilização mais eficiente e direcionada da ferramenta, assegurando que cada tipo de procedimento dispõe de um espaço próprio, com conteúdos adequadamente ajustados às respetivas especificidades.</t>
  </si>
  <si>
    <t>Os conteúdos disponíveis foram distribuídos da seguinte forma pelos diferentes separadores do simulador:</t>
  </si>
  <si>
    <t>Taxas Urbanisticas aplicáveis às Operações Urbanísticas: Obras de  Edificação e Obras de Demolição</t>
  </si>
  <si>
    <t>EDIFICAÇÃO_DEMOLIÇÃO</t>
  </si>
  <si>
    <t>Taxas Urbanisticas aplicáveis às Operações Urbanísticas: Operações de Loteamento e Obras de Urbanização</t>
  </si>
  <si>
    <t>LOTEAMENTO_URBANIZAÇÃO</t>
  </si>
  <si>
    <t>Taxas Urbanisticas aplicáveis às Operações Urbanísticas: Utilização</t>
  </si>
  <si>
    <t>UTILIZAÇÃO</t>
  </si>
  <si>
    <t>Taxas Urbanisticas aplicáveis a Procedimentos Diversos</t>
  </si>
  <si>
    <t>OUTROS</t>
  </si>
  <si>
    <t>Taxas Urbanisticas aplicáveis a Ocupações da Via Pública</t>
  </si>
  <si>
    <t>OVP_Traçados A e B</t>
  </si>
  <si>
    <t>OVP_Traçados C e D</t>
  </si>
  <si>
    <t>OVP_Espaços a Consolidar</t>
  </si>
  <si>
    <r>
      <t xml:space="preserve">Para utilizar o simulador, </t>
    </r>
    <r>
      <rPr>
        <b/>
        <sz val="11"/>
        <color theme="1"/>
        <rFont val="Aptos Narrow"/>
        <family val="2"/>
        <scheme val="minor"/>
      </rPr>
      <t>deverá selecionar o separador correspondente ao tipo de operação urbanística/ocupação da via pública que pretende simular</t>
    </r>
    <r>
      <rPr>
        <sz val="11"/>
        <color theme="1"/>
        <rFont val="Aptos Narrow"/>
        <family val="2"/>
        <scheme val="minor"/>
      </rPr>
      <t xml:space="preserve">, onde terá um formulário próprio, contendo os campos relevantes para esse procedimento específico. </t>
    </r>
  </si>
  <si>
    <r>
      <t xml:space="preserve">Deverá </t>
    </r>
    <r>
      <rPr>
        <b/>
        <sz val="11"/>
        <color theme="1"/>
        <rFont val="Aptos Narrow"/>
        <family val="2"/>
        <scheme val="minor"/>
      </rPr>
      <t>preencher todos os campos aplicáveis de forma rigorosa</t>
    </r>
    <r>
      <rPr>
        <sz val="11"/>
        <color theme="1"/>
        <rFont val="Aptos Narrow"/>
        <family val="2"/>
        <scheme val="minor"/>
      </rPr>
      <t xml:space="preserve"> e de acordo com as características da operação urbanística/ocupação da via pública em causa, por forma a garantir a correta aplicação das regras previstas no regulamento e o apuramento adequado das taxas.</t>
    </r>
  </si>
  <si>
    <r>
      <t xml:space="preserve">Após o preenchimento do formulário, </t>
    </r>
    <r>
      <rPr>
        <b/>
        <sz val="11"/>
        <rFont val="Aptos Narrow"/>
        <family val="2"/>
        <scheme val="minor"/>
      </rPr>
      <t>será apresentada a simulação das taxas correspondentes no final de cada separador</t>
    </r>
    <r>
      <rPr>
        <sz val="11"/>
        <rFont val="Aptos Narrow"/>
        <family val="2"/>
        <scheme val="minor"/>
      </rPr>
      <t xml:space="preserve">, incluindo o detalhe dos cálculos efetuados, e a listagem das </t>
    </r>
    <r>
      <rPr>
        <b/>
        <sz val="11"/>
        <rFont val="Aptos Narrow"/>
        <family val="2"/>
        <scheme val="minor"/>
      </rPr>
      <t>variáveis consideradas no processo de cálculo</t>
    </r>
    <r>
      <rPr>
        <sz val="11"/>
        <rFont val="Aptos Narrow"/>
        <family val="2"/>
        <scheme val="minor"/>
      </rPr>
      <t>, permitindo compreender de forma transparente como cada valor foi determinado e qual o seu impacto no resultado final.</t>
    </r>
  </si>
  <si>
    <t>*</t>
  </si>
  <si>
    <t>Termos de Utilização:</t>
  </si>
  <si>
    <t xml:space="preserve">Os valores gerados através deste simulador são meramente indicativos, sendo a sua precisão dependente do rigor dos dados inseridos. </t>
  </si>
  <si>
    <t>A Câmara Municipal de Lisboa não garante a exatidão dos valores gerados através deste simulador e não se responsabiliza por eventuais discrepâncias entre estes e os valores que venham a ser apurados e liquidados pelos serviços Municipais.</t>
  </si>
  <si>
    <t>O presente simulador não dispensa a consulta dos regulamentos aplicáveis.</t>
  </si>
  <si>
    <t>Os valores apurados poderão ser objeto de reduções e/ou isenções, nos termos do Regulamento de Taxas Relacionadas com a Atividade Urbanística e Operações Conexas (RMTRAUOC).</t>
  </si>
  <si>
    <t>Nome</t>
  </si>
  <si>
    <t>Local da obra</t>
  </si>
  <si>
    <t>Data</t>
  </si>
  <si>
    <t>OBRAS DE EDIFICAÇÃO | OBRAS DE DEMOLIÇÃO</t>
  </si>
  <si>
    <t>A operação urbanistica em causa está sujeita a controlo prévio?</t>
  </si>
  <si>
    <t>Tipo de obra</t>
  </si>
  <si>
    <t>Prazo de execução da obra</t>
  </si>
  <si>
    <t>A operação urbanistica em causa prevê a alteração da cota de soleira da edificação?</t>
  </si>
  <si>
    <t>Indique a categoria em se encontra inserida a operação urbanistica de acordo com a Qualificação de Espaço Urbano do PDM</t>
  </si>
  <si>
    <t>Consulte a Planta de Ordenamento - Qualificação do Espaço Urbano</t>
  </si>
  <si>
    <t>CARACTERIZAÇÃO DA OPERAÇÃO URBANISTICA</t>
  </si>
  <si>
    <t>Existente
(de acordo com o antecedente legal válido)</t>
  </si>
  <si>
    <t>Proposto</t>
  </si>
  <si>
    <t>6.1</t>
  </si>
  <si>
    <t>Caracterização geral</t>
  </si>
  <si>
    <r>
      <t>Área do lote ou parcela (m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</si>
  <si>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r>
      <t>Área de implantação (m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</si>
  <si>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r>
      <t>Área total de logradouro (m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</si>
  <si>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t>Área de impermeabilização destinada a fins lúdicos: piscinas, tanques, campos de jogos/outros recintos (m2)</t>
  </si>
  <si>
    <t>Construção/alteração de muro/vedação confinante com a via (ml)</t>
  </si>
  <si>
    <t>Área de cedência (m2)</t>
  </si>
  <si>
    <t>Área de construção (m2)</t>
  </si>
  <si>
    <t>Número de pisos acima da cota de soleira</t>
  </si>
  <si>
    <t>Número de pisos abaixo da cota de soleira</t>
  </si>
  <si>
    <t>Altura da fachada (m)</t>
  </si>
  <si>
    <t>Altura da edificação (m)</t>
  </si>
  <si>
    <t>Número de lugares de estacionamento privado</t>
  </si>
  <si>
    <t>Número de lugares de estacionamento público</t>
  </si>
  <si>
    <t>6.2</t>
  </si>
  <si>
    <t>Caracterização dos usos propostos</t>
  </si>
  <si>
    <t>Habitação</t>
  </si>
  <si>
    <r>
      <t>Superficie de pavimento (m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)</t>
    </r>
  </si>
  <si>
    <t>Unifamiliar ou coletiva</t>
  </si>
  <si>
    <t>Alojamento local</t>
  </si>
  <si>
    <t>Residência de estudantes</t>
  </si>
  <si>
    <t>Residência destinada a idosos</t>
  </si>
  <si>
    <t>Outro</t>
  </si>
  <si>
    <t>Terciário</t>
  </si>
  <si>
    <t>Comércio (Restauração e bebidas)</t>
  </si>
  <si>
    <t>Comérico (Outro)</t>
  </si>
  <si>
    <t>Serviços</t>
  </si>
  <si>
    <t>Parque de estacionamento</t>
  </si>
  <si>
    <t>Turismo</t>
  </si>
  <si>
    <t>Hotel</t>
  </si>
  <si>
    <t>Pousada</t>
  </si>
  <si>
    <t>Turismo de habitação</t>
  </si>
  <si>
    <t>Hotel-apartamento</t>
  </si>
  <si>
    <t>Apartamentos turísticos</t>
  </si>
  <si>
    <t>Equipamento</t>
  </si>
  <si>
    <t>Saúde</t>
  </si>
  <si>
    <t>Educação</t>
  </si>
  <si>
    <t>Cultura</t>
  </si>
  <si>
    <t>Desporto</t>
  </si>
  <si>
    <t>Justiça</t>
  </si>
  <si>
    <t>Segurança social</t>
  </si>
  <si>
    <t>Segurança pública</t>
  </si>
  <si>
    <t>Proteção civil</t>
  </si>
  <si>
    <t>Logistica</t>
  </si>
  <si>
    <t>Industrial</t>
  </si>
  <si>
    <t>Produção agrícola</t>
  </si>
  <si>
    <t>OBRAS DE EDIFICAÇÃO RELATIVAS A POSTO DE ABASTECIMENTO E LAVAGEM DE VEÍCULOS</t>
  </si>
  <si>
    <t>7.1</t>
  </si>
  <si>
    <t>A operação urbanística prevê obras de edificação de postos de abastecimento e/ou lavagem de veículos?</t>
  </si>
  <si>
    <t>7.2</t>
  </si>
  <si>
    <t>Se sim, indique o número de unidades criadas ou alteradas em cada tipologia</t>
  </si>
  <si>
    <t>Unidades</t>
  </si>
  <si>
    <t xml:space="preserve">Abastecimento de combustível </t>
  </si>
  <si>
    <t>Abastecimento de gás e/ou eletricidade</t>
  </si>
  <si>
    <t>Lavagem de veículos</t>
  </si>
  <si>
    <t>OBRAS DE DEMOLIÇÃO</t>
  </si>
  <si>
    <t>8.1</t>
  </si>
  <si>
    <t>A operação urbanística prevê a realização de obras de demolição?</t>
  </si>
  <si>
    <t>8.2</t>
  </si>
  <si>
    <t>Se sim, indique número de pisos a demolir</t>
  </si>
  <si>
    <t>APURAMENTO DE TAXAS</t>
  </si>
  <si>
    <t>&gt;</t>
  </si>
  <si>
    <t>∑ [a) - h)]</t>
  </si>
  <si>
    <t>* Sempre que se apliquem múltiplos agrupamentos de taxas, a variável 'tempo' será considerada uma única vez no cálculo</t>
  </si>
  <si>
    <t>a)</t>
  </si>
  <si>
    <t>Obras de edificação e o aditamento de alteração; ou
Obras de edificação com impactes semelhantes a loteamento e o aditamento de alteração; ou
Alteração à comunicação ou à licença de obras de edificação durante a execução de obras; ou 
Renovação da licença (ou autorização) e da admissão da comunicação de obras de edificação; ou
Renovação da licença (ou autorização) e da admissão da comunicação de obras de edificação com impactes semelhantes a loteamento</t>
  </si>
  <si>
    <r>
      <t>(4 × E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 xml:space="preserve">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 × C</t>
    </r>
    <r>
      <rPr>
        <vertAlign val="sub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 xml:space="preserve"> + (T × VU</t>
    </r>
    <r>
      <rPr>
        <vertAlign val="subscript"/>
        <sz val="9"/>
        <color theme="1"/>
        <rFont val="Aptos Narrow"/>
        <family val="2"/>
        <scheme val="minor"/>
      </rPr>
      <t>t</t>
    </r>
    <r>
      <rPr>
        <sz val="9"/>
        <color theme="1"/>
        <rFont val="Aptos Narrow"/>
        <family val="2"/>
        <scheme val="minor"/>
      </rPr>
      <t>)*</t>
    </r>
  </si>
  <si>
    <t>b)</t>
  </si>
  <si>
    <r>
      <t>(3 × E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 xml:space="preserve">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 + (T × VU</t>
    </r>
    <r>
      <rPr>
        <vertAlign val="subscript"/>
        <sz val="9"/>
        <color theme="1"/>
        <rFont val="Aptos Narrow"/>
        <family val="2"/>
        <scheme val="minor"/>
      </rPr>
      <t>t</t>
    </r>
    <r>
      <rPr>
        <sz val="9"/>
        <color theme="1"/>
        <rFont val="Aptos Narrow"/>
        <family val="2"/>
        <scheme val="minor"/>
      </rPr>
      <t>)*</t>
    </r>
  </si>
  <si>
    <t>c)</t>
  </si>
  <si>
    <t>Construção e alteração ou demolição de piscinas ou tanques, de campos de jogos ou outros recintos e o aditamento de alteração</t>
  </si>
  <si>
    <r>
      <t>(3 × E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 xml:space="preserve">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 × C</t>
    </r>
    <r>
      <rPr>
        <vertAlign val="subscript"/>
        <sz val="9"/>
        <color theme="1"/>
        <rFont val="Aptos Narrow"/>
        <family val="2"/>
        <scheme val="minor"/>
      </rPr>
      <t>2</t>
    </r>
  </si>
  <si>
    <t>d)</t>
  </si>
  <si>
    <t>Construção ou alteração de muros de suporte ou vedações e o aditamento de alteração</t>
  </si>
  <si>
    <r>
      <t>(2 × L/10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 + (T × VU</t>
    </r>
    <r>
      <rPr>
        <vertAlign val="subscript"/>
        <sz val="9"/>
        <color theme="1"/>
        <rFont val="Aptos Narrow"/>
        <family val="2"/>
        <scheme val="minor"/>
      </rPr>
      <t>t</t>
    </r>
    <r>
      <rPr>
        <sz val="9"/>
        <color theme="1"/>
        <rFont val="Aptos Narrow"/>
        <family val="2"/>
        <scheme val="minor"/>
      </rPr>
      <t>)*</t>
    </r>
  </si>
  <si>
    <t>e)</t>
  </si>
  <si>
    <r>
      <t>2 × (1 + 1/4(n</t>
    </r>
    <r>
      <rPr>
        <vertAlign val="subscript"/>
        <sz val="9"/>
        <color theme="1"/>
        <rFont val="Aptos Narrow"/>
        <family val="2"/>
        <scheme val="minor"/>
      </rPr>
      <t>upc</t>
    </r>
    <r>
      <rPr>
        <sz val="9"/>
        <color theme="1"/>
        <rFont val="Aptos Narrow"/>
        <family val="2"/>
        <scheme val="minor"/>
      </rPr>
      <t xml:space="preserve"> - 1))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 xml:space="preserve"> + (T × VU</t>
    </r>
    <r>
      <rPr>
        <vertAlign val="subscript"/>
        <sz val="9"/>
        <color theme="1"/>
        <rFont val="Aptos Narrow"/>
        <family val="2"/>
        <scheme val="minor"/>
      </rPr>
      <t>t</t>
    </r>
    <r>
      <rPr>
        <sz val="9"/>
        <color theme="1"/>
        <rFont val="Aptos Narrow"/>
        <family val="2"/>
        <scheme val="minor"/>
      </rPr>
      <t>)*</t>
    </r>
  </si>
  <si>
    <t>f)</t>
  </si>
  <si>
    <t>g)</t>
  </si>
  <si>
    <t>h)</t>
  </si>
  <si>
    <r>
      <t>4 × E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 xml:space="preserve"> × VU</t>
    </r>
    <r>
      <rPr>
        <vertAlign val="subscript"/>
        <sz val="9"/>
        <color theme="1"/>
        <rFont val="Aptos Narrow"/>
        <family val="2"/>
        <scheme val="minor"/>
      </rPr>
      <t>a</t>
    </r>
  </si>
  <si>
    <t>TAXA PELA REALIZAÇÃO, MANUTENÇÃO E REFORÇO DE INFRAESTRUTURAS URBANÍSTICAS (TRIU)</t>
  </si>
  <si>
    <r>
      <t>∑ (A x C</t>
    </r>
    <r>
      <rPr>
        <vertAlign val="subscript"/>
        <sz val="9"/>
        <color theme="1"/>
        <rFont val="Aptos Display"/>
        <family val="2"/>
        <scheme val="major"/>
      </rPr>
      <t>3</t>
    </r>
    <r>
      <rPr>
        <sz val="9"/>
        <color theme="1"/>
        <rFont val="Aptos Display"/>
        <family val="2"/>
        <scheme val="major"/>
      </rPr>
      <t>) x VU</t>
    </r>
    <r>
      <rPr>
        <vertAlign val="subscript"/>
        <sz val="9"/>
        <color theme="1"/>
        <rFont val="Aptos Display"/>
        <family val="2"/>
        <scheme val="major"/>
      </rPr>
      <t>triu</t>
    </r>
  </si>
  <si>
    <t>* Aplicável apenas quando exista acréscimo de superfície de pavimento</t>
  </si>
  <si>
    <t xml:space="preserve">VALOR APURADO </t>
  </si>
  <si>
    <r>
      <t>VU</t>
    </r>
    <r>
      <rPr>
        <b/>
        <vertAlign val="subscript"/>
        <sz val="9"/>
        <color theme="1"/>
        <rFont val="Aptos Display"/>
        <family val="2"/>
        <scheme val="major"/>
      </rPr>
      <t>a</t>
    </r>
  </si>
  <si>
    <t>Valor Unitário atualizado anualmente, através do Regulamento do Orçamento do Munícipio de Lisboa para cada ano financeiro - Encargos com serviços administrativos</t>
  </si>
  <si>
    <r>
      <t>VU</t>
    </r>
    <r>
      <rPr>
        <b/>
        <vertAlign val="subscript"/>
        <sz val="9"/>
        <color theme="1"/>
        <rFont val="Aptos Display"/>
        <family val="2"/>
        <scheme val="major"/>
      </rPr>
      <t>t</t>
    </r>
    <r>
      <rPr>
        <b/>
        <sz val="9"/>
        <color theme="1"/>
        <rFont val="Aptos Display"/>
        <family val="2"/>
        <scheme val="major"/>
      </rPr>
      <t xml:space="preserve"> </t>
    </r>
  </si>
  <si>
    <t>Valor Unitário atualizado anualmente, através do Regulamento do Orçamento do Munícipio de Lisboa para cada ano financeiro - Adicional de desincentivo sobre o tempo de duração duma obra para realização de operação</t>
  </si>
  <si>
    <r>
      <t>VU</t>
    </r>
    <r>
      <rPr>
        <b/>
        <vertAlign val="subscript"/>
        <sz val="9"/>
        <color theme="1"/>
        <rFont val="Aptos Display"/>
        <family val="2"/>
        <scheme val="major"/>
      </rPr>
      <t>triu</t>
    </r>
    <r>
      <rPr>
        <b/>
        <sz val="9"/>
        <color theme="1"/>
        <rFont val="Aptos Display"/>
        <family val="2"/>
        <scheme val="major"/>
      </rPr>
      <t xml:space="preserve"> </t>
    </r>
  </si>
  <si>
    <t>Valor Unitário atualizado anualmente, através do Regulamento do Orçamento do Munícipio de Lisboa para cada ano financeiro - Realização, manutenção e reforço de infraestruturas urbanísticas</t>
  </si>
  <si>
    <r>
      <t>E</t>
    </r>
    <r>
      <rPr>
        <b/>
        <vertAlign val="subscript"/>
        <sz val="9"/>
        <color theme="1"/>
        <rFont val="Aptos Display"/>
        <family val="2"/>
        <scheme val="major"/>
      </rPr>
      <t>a</t>
    </r>
  </si>
  <si>
    <t>Escalão de área, definido a partir da superfície de pavimento (área bruta de construção excluindo áreas técnicas acima do solo), da área bruta do fogo ou da área de construção (medida em m2), 
consoante a unidade de intervenção</t>
  </si>
  <si>
    <t>a) e h)</t>
  </si>
  <si>
    <r>
      <t>C</t>
    </r>
    <r>
      <rPr>
        <b/>
        <vertAlign val="subscript"/>
        <sz val="9"/>
        <color theme="1"/>
        <rFont val="Aptos Display"/>
        <family val="2"/>
        <scheme val="major"/>
      </rPr>
      <t>2</t>
    </r>
  </si>
  <si>
    <t>Coeficiente adicional da taxa pela prática de atos administrativos e técnicos para o controlo prévio de operações urbanísticas e atividades conexas</t>
  </si>
  <si>
    <r>
      <t>C</t>
    </r>
    <r>
      <rPr>
        <b/>
        <vertAlign val="subscript"/>
        <sz val="9"/>
        <color theme="1"/>
        <rFont val="Aptos Display"/>
        <family val="2"/>
        <scheme val="major"/>
      </rPr>
      <t>3</t>
    </r>
  </si>
  <si>
    <t>Coeficiente que diferencia as intervenções de acordo com a localização (qualificação de espaço urbano do PDM)</t>
  </si>
  <si>
    <t xml:space="preserve">A </t>
  </si>
  <si>
    <t>Superfície de pavimento* (medida em m2), acrescida pela operação de loteamento, pela edificação ou utilização, por categoria de espaço urbano</t>
  </si>
  <si>
    <t xml:space="preserve">T </t>
  </si>
  <si>
    <t>Prazo (em meses) para execução das obras ou ocupação do dominio público e privado municipal</t>
  </si>
  <si>
    <t xml:space="preserve">L </t>
  </si>
  <si>
    <t>Extensão do muro ou vedação em metros lineares</t>
  </si>
  <si>
    <r>
      <t>n</t>
    </r>
    <r>
      <rPr>
        <b/>
        <vertAlign val="subscript"/>
        <sz val="9"/>
        <color theme="1"/>
        <rFont val="Aptos Display"/>
        <family val="2"/>
        <scheme val="major"/>
      </rPr>
      <t>upc</t>
    </r>
  </si>
  <si>
    <t>Unidades de abastecimento ou de lavagem criadas no posto de combustíveis (ou diferença de unidades em relação à situação legal anterior), correspondendo estas ao número de carros 
que podem ser abastecidos ou lavados em simultâneo</t>
  </si>
  <si>
    <t>OPERAÇÕES DE LOTEAMENTO | OBRAS DE URBANIZAÇÃO | TRABALHOS DE REMODELAÇÃO DE TERRENOS</t>
  </si>
  <si>
    <t>Tipo de operação urbanística</t>
  </si>
  <si>
    <t xml:space="preserve">Prazo de execução da obra </t>
  </si>
  <si>
    <t>Existente</t>
  </si>
  <si>
    <r>
      <t>Área do prédio ou prédios a lotear (m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)</t>
    </r>
  </si>
  <si>
    <t>Cedências</t>
  </si>
  <si>
    <r>
      <t>Área total (m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)</t>
    </r>
  </si>
  <si>
    <r>
      <t>Área destinada a espaços verdes e de utilização coletiva (m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)</t>
    </r>
  </si>
  <si>
    <r>
      <t>Área destinada a equipamento de utilização coletiva (m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)</t>
    </r>
  </si>
  <si>
    <r>
      <t>Área destinada a infraestuturas viárias e estacionamento público (m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)</t>
    </r>
  </si>
  <si>
    <r>
      <t>Área destinada a espaços verdes e de utilização coletiva sem características para contabilização nos parâmetros (m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)</t>
    </r>
  </si>
  <si>
    <t>5.1</t>
  </si>
  <si>
    <t>Caracterização da proposta</t>
  </si>
  <si>
    <t>Número total de lotes</t>
  </si>
  <si>
    <r>
      <t>Área líquida do loteamento / Área total dos lotes (m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</si>
  <si>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r>
      <t>Área total de implantação (m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</si>
  <si>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t>Área total de construção (m2)</t>
  </si>
  <si>
    <r>
      <t>Volumetria total da construção (m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</si>
  <si>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t>Número máximo de fogos</t>
  </si>
  <si>
    <t>Número máximo de pisos acima da cota de soleira</t>
  </si>
  <si>
    <t>Número máximo de pisos abaixo da cota de soleira</t>
  </si>
  <si>
    <t>Número total de lugares de estacionamento privado</t>
  </si>
  <si>
    <t>Número total de lugares de estacionamento público à superfície</t>
  </si>
  <si>
    <t>Número total de lugares de estacionamento público em estrutura edificada</t>
  </si>
  <si>
    <t>Corresponde à soma da superfícies de pavimento de todos os lotes</t>
  </si>
  <si>
    <t>Comérico</t>
  </si>
  <si>
    <t>OBRAS DE URBANIZAÇÃO</t>
  </si>
  <si>
    <r>
      <t>Área do terreno com intervenção de obras de urbanização (m</t>
    </r>
    <r>
      <rPr>
        <b/>
        <vertAlign val="superscript"/>
        <sz val="11"/>
        <color theme="1"/>
        <rFont val="Aptos Display"/>
        <family val="2"/>
        <scheme val="major"/>
      </rPr>
      <t>2</t>
    </r>
    <r>
      <rPr>
        <b/>
        <sz val="11"/>
        <color theme="1"/>
        <rFont val="Aptos Display"/>
        <family val="2"/>
        <scheme val="major"/>
      </rPr>
      <t>)</t>
    </r>
  </si>
  <si>
    <t>∑ [a) - e)]</t>
  </si>
  <si>
    <t>Trabalhos de remodelação de terrenos e o aditamento de alteração; ou
Renovação da licença ou da admissão de comunicação para trabalhos de remodelação de terrenos não incluídas em loteamento</t>
  </si>
  <si>
    <r>
      <t>(2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 + (T × VU</t>
    </r>
    <r>
      <rPr>
        <vertAlign val="subscript"/>
        <sz val="9"/>
        <color theme="1"/>
        <rFont val="Aptos Narrow"/>
        <family val="2"/>
        <scheme val="minor"/>
      </rPr>
      <t>t</t>
    </r>
    <r>
      <rPr>
        <sz val="9"/>
        <color theme="1"/>
        <rFont val="Aptos Narrow"/>
        <family val="2"/>
        <scheme val="minor"/>
      </rPr>
      <t>)</t>
    </r>
  </si>
  <si>
    <t>Execução de obras de urbanização não incluídas em loteamento e o aditamento de alteração; ou
Renovação da licença ou da admissão de comunicação para execução das obras de urbanização não incluídas em loteamento; ou
Obras de urbanização, em área abrangida por operação de loteamento e o aditamento de alteração</t>
  </si>
  <si>
    <r>
      <t>(3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 + (T × VU</t>
    </r>
    <r>
      <rPr>
        <vertAlign val="subscript"/>
        <sz val="9"/>
        <color theme="1"/>
        <rFont val="Aptos Narrow"/>
        <family val="2"/>
        <scheme val="minor"/>
      </rPr>
      <t>t</t>
    </r>
    <r>
      <rPr>
        <sz val="9"/>
        <color theme="1"/>
        <rFont val="Aptos Narrow"/>
        <family val="2"/>
        <scheme val="minor"/>
      </rPr>
      <t>)</t>
    </r>
  </si>
  <si>
    <r>
      <t>(5 × E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 xml:space="preserve">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 × C</t>
    </r>
    <r>
      <rPr>
        <vertAlign val="subscript"/>
        <sz val="9"/>
        <color theme="1"/>
        <rFont val="Aptos Narrow"/>
        <family val="2"/>
        <scheme val="minor"/>
      </rPr>
      <t>2</t>
    </r>
  </si>
  <si>
    <t>Loteamento com obras de urbanização e o aditamento de alteração; ou
Pedido de alteração à operação de loteamento durante a execução de obras de urbanização</t>
  </si>
  <si>
    <r>
      <t>(5 × E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 xml:space="preserve">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 × C</t>
    </r>
    <r>
      <rPr>
        <vertAlign val="sub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 xml:space="preserve"> + (T × VU</t>
    </r>
    <r>
      <rPr>
        <vertAlign val="subscript"/>
        <sz val="9"/>
        <color theme="1"/>
        <rFont val="Aptos Narrow"/>
        <family val="2"/>
        <scheme val="minor"/>
      </rPr>
      <t>t</t>
    </r>
    <r>
      <rPr>
        <sz val="9"/>
        <color theme="1"/>
        <rFont val="Aptos Narrow"/>
        <family val="2"/>
        <scheme val="minor"/>
      </rPr>
      <t>)</t>
    </r>
  </si>
  <si>
    <t>Renovação da licença ou da admissão de comunicação de loteamento com obras de urbanização; ou
Pedido de alvará de licença de loteamento com execução das obras de urbanização por fases (conforme parâmetros de cada fase)</t>
  </si>
  <si>
    <r>
      <t>(3 × E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 xml:space="preserve">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 ×  C</t>
    </r>
    <r>
      <rPr>
        <vertAlign val="sub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 xml:space="preserve"> + (T × VU</t>
    </r>
    <r>
      <rPr>
        <vertAlign val="subscript"/>
        <sz val="9"/>
        <color theme="1"/>
        <rFont val="Aptos Narrow"/>
        <family val="2"/>
        <scheme val="minor"/>
      </rPr>
      <t>t</t>
    </r>
    <r>
      <rPr>
        <sz val="9"/>
        <color theme="1"/>
        <rFont val="Aptos Narrow"/>
        <family val="2"/>
        <scheme val="minor"/>
      </rPr>
      <t>)</t>
    </r>
  </si>
  <si>
    <t>Escalão de área, definido a partir da superfície de pavimento (área bruta de construção excluindo áreas técnicas acima do solo), da área bruta do fogo ou da área de construção 
(medida em m2), consoante a unidade de intervenção</t>
  </si>
  <si>
    <t>Operação de loteamento sem obras de urbanização</t>
  </si>
  <si>
    <t>Operação de loteamento com obras de urbanização</t>
  </si>
  <si>
    <t>Obras de urbanização</t>
  </si>
  <si>
    <t>Trabalhos de remodelação de terrenos</t>
  </si>
  <si>
    <t>Renovação de operação de loteamento com obras de urbanização</t>
  </si>
  <si>
    <t>Operação de loteamento com execução das obras de urbanização por fases</t>
  </si>
  <si>
    <t>Indique o procedimento</t>
  </si>
  <si>
    <t>O uso pretendido é abrangido por legislação especial?</t>
  </si>
  <si>
    <t>A utilização poderá estar condicionada pela realização de vistoria?</t>
  </si>
  <si>
    <t>CARACTERIZAÇÃO DOS USOS</t>
  </si>
  <si>
    <t>Frações (Un)</t>
  </si>
  <si>
    <t>SIMULADOR DE TAXAS</t>
  </si>
  <si>
    <t>Emissão de alvará de autorização de utilização</t>
  </si>
  <si>
    <r>
      <t>VU</t>
    </r>
    <r>
      <rPr>
        <vertAlign val="subscript"/>
        <sz val="10"/>
        <color theme="1"/>
        <rFont val="Aptos Display"/>
        <family val="2"/>
        <scheme val="major"/>
      </rPr>
      <t>a</t>
    </r>
  </si>
  <si>
    <t>Utilização de edifícios ou suas frações e alteração de utilização sem realização de obras ou com obras isentas de comunicação e licença</t>
  </si>
  <si>
    <r>
      <t>(3 × E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 xml:space="preserve"> × 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</t>
    </r>
  </si>
  <si>
    <t>Utilização de edifícios ou suas frações e alteração de utilização nos casos abrangidos por legislação especial</t>
  </si>
  <si>
    <t>Acréscimo quando a utilização está condicionada pela realização de vistoria</t>
  </si>
  <si>
    <r>
      <t>(n</t>
    </r>
    <r>
      <rPr>
        <vertAlign val="subscript"/>
        <sz val="9"/>
        <color theme="1"/>
        <rFont val="Aptos Narrow"/>
        <family val="2"/>
        <scheme val="minor"/>
      </rPr>
      <t>u</t>
    </r>
    <r>
      <rPr>
        <sz val="9"/>
        <color theme="1"/>
        <rFont val="Aptos Narrow"/>
        <family val="2"/>
        <scheme val="minor"/>
      </rPr>
      <t>+4) x (VU</t>
    </r>
    <r>
      <rPr>
        <vertAlign val="subscript"/>
        <sz val="9"/>
        <color theme="1"/>
        <rFont val="Aptos Narrow"/>
        <family val="2"/>
        <scheme val="minor"/>
      </rPr>
      <t>a</t>
    </r>
    <r>
      <rPr>
        <sz val="9"/>
        <color theme="1"/>
        <rFont val="Aptos Narrow"/>
        <family val="2"/>
        <scheme val="minor"/>
      </rPr>
      <t>)/10</t>
    </r>
  </si>
  <si>
    <t>Escalão de área, definido a partir da superfície de pavimento (área bruta de construção excluindo áreas técnicas acima do solo), da área bruta do fogo ou da área de construção (medida em m2), consoante a unidade de intervenção</t>
  </si>
  <si>
    <r>
      <t>n</t>
    </r>
    <r>
      <rPr>
        <b/>
        <vertAlign val="subscript"/>
        <sz val="9"/>
        <color theme="1"/>
        <rFont val="Aptos Display"/>
        <family val="2"/>
        <scheme val="major"/>
      </rPr>
      <t>u</t>
    </r>
  </si>
  <si>
    <t>Unidades de utilização (fogos, lojas, armazéns…) abrangidas por vistoria</t>
  </si>
  <si>
    <t>Utilização após operação urbanística sujeita a controlo prévio</t>
  </si>
  <si>
    <t>Alteração à utilização sem operação urbanística prévia</t>
  </si>
  <si>
    <t>Utilização após operação urbanística isenta de controlo prévio</t>
  </si>
  <si>
    <t>Licença de recinto</t>
  </si>
  <si>
    <t>OUTROS PROCEDIMENTOS</t>
  </si>
  <si>
    <t>Indique o número de antenas (se aplicável)</t>
  </si>
  <si>
    <t>VALOR APURADO</t>
  </si>
  <si>
    <r>
      <t>n</t>
    </r>
    <r>
      <rPr>
        <b/>
        <vertAlign val="subscript"/>
        <sz val="9"/>
        <color theme="1"/>
        <rFont val="Aptos Display"/>
        <family val="2"/>
        <scheme val="major"/>
      </rPr>
      <t>at</t>
    </r>
  </si>
  <si>
    <t>Unidades de base de sustentação de antena de telecomunicações</t>
  </si>
  <si>
    <t>Aditamento aos projetos de loteamento/obras de urbanização</t>
  </si>
  <si>
    <t>Averbamentos ao alvará de Utilização decorrentes de legislação específica</t>
  </si>
  <si>
    <t>Averbamentos de Substituição de requerente/técnico autor/diretor de obra/empreiteiro</t>
  </si>
  <si>
    <t>Certificação de parcela constituída por Plano de Pormenor, para efeitos registais</t>
  </si>
  <si>
    <t>Emissão de alvará de licença de Obras de Edificação/Obras de Demolição</t>
  </si>
  <si>
    <t>Emissão de alvará de licença ou o seu aditamento de Obras de Urbanização/Trabalhos de Remodelação de Terrenos</t>
  </si>
  <si>
    <t>Emissão de alvará de licença de Operações de Loteamento, que constituam menos de 10 lotes, ou o seu aditamento</t>
  </si>
  <si>
    <t>Emissão de alvará de licença de Operações de Loteamento, que constituam 10 ou mais lotes, ou o seu aditamento</t>
  </si>
  <si>
    <t>Pedido de informação prévia sobre realização de Obras de Edificação</t>
  </si>
  <si>
    <t>Pedido de informação prévia sobre realização de Operação de Loteamento/Obras de Urbanização/Trabalhos de Remodelação de Terrenos</t>
  </si>
  <si>
    <t>Pedido de antecipação de trabalhos de demolição/escavação e contenção periférica</t>
  </si>
  <si>
    <t>Prorrogação de prazo de execução das Obras de Edificação</t>
  </si>
  <si>
    <t>1ª prorrogação do prazo de execução das Obras de Urbanização/Trabalhos de Remodelação de Terrenos</t>
  </si>
  <si>
    <t>2ª prorrogação do prazo de execução das Obras de Urbanização/Trabalhos de Remodelação de Terrenos</t>
  </si>
  <si>
    <t>Licença especial para conclusão de Obras de Edificação inacabadas</t>
  </si>
  <si>
    <t>Licença especial para a conclusão das Obras de Urbanização inacabadas</t>
  </si>
  <si>
    <t>Licença especial para a conclusão de Trabalhos de Remodelação de Terrenos inacabados</t>
  </si>
  <si>
    <t>Receção provisória/definitiva de Obras de Urbanização</t>
  </si>
  <si>
    <t>Autorização de instalação de infra-estruturas de suporte das estações de radiocomunicações</t>
  </si>
  <si>
    <t>OCUPAÇÃO DA VIA PÚBLICA - ESPAÇOS CONSOLIDADOS: ESPAÇOS CENTRAIS E RESIDENCIAIS</t>
  </si>
  <si>
    <t>TRAÇADO URBANO A E B, ESPAÇOS VERDES DE RECREIO E PRODUÇÃO, ESPAÇOS VERDES DE PROTEÇÃO E CONSERVAÇÃO, ESPAÇOS DE USOS ESPECIAIS DE EQUIPAMENTOS, ESPAÇOS DE USOS ESPECIAIS DE EQUIPAMENTOS (COM ÁREA VERDE ANEXA), ESPAÇOS DE USOS ESPECIAIS RIBEIRINHOS</t>
  </si>
  <si>
    <t>CARACTERIZAÇÃO DA OCUPAÇÃO DA VIA PÚBLICA</t>
  </si>
  <si>
    <t>ARRUAMENTO 1:</t>
  </si>
  <si>
    <t>OCUPAÇÃO NA FRENTE DO PRÉDIO</t>
  </si>
  <si>
    <t>Ocupação</t>
  </si>
  <si>
    <t>Frente</t>
  </si>
  <si>
    <t>Área</t>
  </si>
  <si>
    <t>Altura</t>
  </si>
  <si>
    <t xml:space="preserve">Unidades </t>
  </si>
  <si>
    <t>Instalações no solo</t>
  </si>
  <si>
    <t>Instalações elevadas</t>
  </si>
  <si>
    <t>Prazo</t>
  </si>
  <si>
    <t>Taxa</t>
  </si>
  <si>
    <t>Artigo 31.º, n.º 2, a)</t>
  </si>
  <si>
    <t>Resguardo ou Tapume</t>
  </si>
  <si>
    <r>
      <t>(S × C</t>
    </r>
    <r>
      <rPr>
        <vertAlign val="subscript"/>
        <sz val="9"/>
        <color theme="1"/>
        <rFont val="Aptos Narrow"/>
        <family val="2"/>
        <scheme val="minor"/>
      </rPr>
      <t>1</t>
    </r>
    <r>
      <rPr>
        <sz val="9"/>
        <color theme="1"/>
        <rFont val="Aptos Narrow"/>
        <family val="2"/>
        <scheme val="minor"/>
      </rPr>
      <t>) × T × VU</t>
    </r>
    <r>
      <rPr>
        <vertAlign val="subscript"/>
        <sz val="9"/>
        <color theme="1"/>
        <rFont val="Aptos Narrow"/>
        <family val="2"/>
        <scheme val="minor"/>
      </rPr>
      <t>o</t>
    </r>
  </si>
  <si>
    <t>Artigo 31.º, n.º 2, b)</t>
  </si>
  <si>
    <t>Andaime</t>
  </si>
  <si>
    <r>
      <t>L × C</t>
    </r>
    <r>
      <rPr>
        <vertAlign val="subscript"/>
        <sz val="9"/>
        <color theme="1"/>
        <rFont val="Aptos Narrow"/>
        <family val="2"/>
        <scheme val="minor"/>
      </rPr>
      <t>1</t>
    </r>
    <r>
      <rPr>
        <sz val="9"/>
        <color theme="1"/>
        <rFont val="Aptos Narrow"/>
        <family val="2"/>
        <scheme val="minor"/>
      </rPr>
      <t xml:space="preserve"> × (p</t>
    </r>
    <r>
      <rPr>
        <vertAlign val="sub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 xml:space="preserve"> - p</t>
    </r>
    <r>
      <rPr>
        <vertAlign val="subscript"/>
        <sz val="9"/>
        <color theme="1"/>
        <rFont val="Aptos Narrow"/>
        <family val="2"/>
        <scheme val="minor"/>
      </rPr>
      <t>1</t>
    </r>
    <r>
      <rPr>
        <sz val="9"/>
        <color theme="1"/>
        <rFont val="Aptos Narrow"/>
        <family val="2"/>
        <scheme val="minor"/>
      </rPr>
      <t>) × T × VU</t>
    </r>
    <r>
      <rPr>
        <vertAlign val="subscript"/>
        <sz val="9"/>
        <color theme="1"/>
        <rFont val="Aptos Narrow"/>
        <family val="2"/>
        <scheme val="minor"/>
      </rPr>
      <t>o</t>
    </r>
  </si>
  <si>
    <t>Artigo 31.º, n.º 2, c)</t>
  </si>
  <si>
    <t>Tubo de descarga</t>
  </si>
  <si>
    <r>
      <t>U × C</t>
    </r>
    <r>
      <rPr>
        <vertAlign val="subscript"/>
        <sz val="9"/>
        <color theme="1"/>
        <rFont val="Aptos Narrow"/>
        <family val="2"/>
        <scheme val="minor"/>
      </rPr>
      <t>1</t>
    </r>
    <r>
      <rPr>
        <sz val="9"/>
        <color theme="1"/>
        <rFont val="Aptos Narrow"/>
        <family val="2"/>
        <scheme val="minor"/>
      </rPr>
      <t xml:space="preserve"> × T × VU</t>
    </r>
    <r>
      <rPr>
        <vertAlign val="subscript"/>
        <sz val="9"/>
        <color theme="1"/>
        <rFont val="Aptos Narrow"/>
        <family val="2"/>
        <scheme val="minor"/>
      </rPr>
      <t>o</t>
    </r>
  </si>
  <si>
    <t>Depósito de entulhos dentro do tapume</t>
  </si>
  <si>
    <t>Depósito de entulhos fora do tapume</t>
  </si>
  <si>
    <t>Outros equipamentos</t>
  </si>
  <si>
    <t>Gruas e guindastes</t>
  </si>
  <si>
    <t>Máquinas e aparelhos elevatórios</t>
  </si>
  <si>
    <t>Artigo 31.º, n.º 2, d)</t>
  </si>
  <si>
    <t>Instalações de apoio ao estaleiro</t>
  </si>
  <si>
    <r>
      <t>[U</t>
    </r>
    <r>
      <rPr>
        <vertAlign val="subscript"/>
        <sz val="9"/>
        <color theme="1"/>
        <rFont val="Aptos Narrow"/>
        <family val="2"/>
        <scheme val="minor"/>
      </rPr>
      <t>solo</t>
    </r>
    <r>
      <rPr>
        <sz val="9"/>
        <color theme="1"/>
        <rFont val="Aptos Narrow"/>
        <family val="2"/>
        <scheme val="minor"/>
      </rPr>
      <t xml:space="preserve"> + (U</t>
    </r>
    <r>
      <rPr>
        <vertAlign val="subscript"/>
        <sz val="9"/>
        <color theme="1"/>
        <rFont val="Aptos Narrow"/>
        <family val="2"/>
        <scheme val="minor"/>
      </rPr>
      <t>elev</t>
    </r>
    <r>
      <rPr>
        <sz val="9"/>
        <color theme="1"/>
        <rFont val="Aptos Narrow"/>
        <family val="2"/>
        <scheme val="minor"/>
      </rPr>
      <t xml:space="preserve"> × 0,2)] × C</t>
    </r>
    <r>
      <rPr>
        <vertAlign val="subscript"/>
        <sz val="9"/>
        <color theme="1"/>
        <rFont val="Aptos Narrow"/>
        <family val="2"/>
        <scheme val="minor"/>
      </rPr>
      <t>1</t>
    </r>
    <r>
      <rPr>
        <sz val="9"/>
        <color theme="1"/>
        <rFont val="Aptos Narrow"/>
        <family val="2"/>
        <scheme val="minor"/>
      </rPr>
      <t xml:space="preserve"> × T × VU</t>
    </r>
    <r>
      <rPr>
        <vertAlign val="subscript"/>
        <sz val="9"/>
        <color theme="1"/>
        <rFont val="Aptos Narrow"/>
        <family val="2"/>
        <scheme val="minor"/>
      </rPr>
      <t>o</t>
    </r>
  </si>
  <si>
    <t>OCUPAÇÃO NOUTRA LOCALIZAÇÃO</t>
  </si>
  <si>
    <t>ARRUAMENTO 2:</t>
  </si>
  <si>
    <t>ARRUAMENTO 3:</t>
  </si>
  <si>
    <t>ARRUAMENTO 4:</t>
  </si>
  <si>
    <t>Pedido de licença de Ocupação do Domínio Público e Privado Municipal; ou 
Aditamento à licença para alteração da ocupação</t>
  </si>
  <si>
    <r>
      <t>3 × VU</t>
    </r>
    <r>
      <rPr>
        <vertAlign val="subscript"/>
        <sz val="9"/>
        <color theme="1"/>
        <rFont val="Aptos Narrow"/>
        <family val="2"/>
        <scheme val="minor"/>
      </rPr>
      <t>a</t>
    </r>
  </si>
  <si>
    <t>Pedido de prorrogação do prazo de Licença de Ocupação do Domínio Público e Privado Municipal</t>
  </si>
  <si>
    <r>
      <t>2 × VU</t>
    </r>
    <r>
      <rPr>
        <vertAlign val="subscript"/>
        <sz val="9"/>
        <color theme="1"/>
        <rFont val="Aptos Narrow"/>
        <family val="2"/>
        <scheme val="minor"/>
      </rPr>
      <t>a</t>
    </r>
  </si>
  <si>
    <t>TAXA PELA OCUPAÇÃO DO DOMINIO PÚBLICO E PRIVADO MUNICIPAL</t>
  </si>
  <si>
    <t>∑ taxas de ocupação</t>
  </si>
  <si>
    <r>
      <t>VU</t>
    </r>
    <r>
      <rPr>
        <b/>
        <vertAlign val="subscript"/>
        <sz val="9"/>
        <color theme="1"/>
        <rFont val="Aptos Display"/>
        <family val="2"/>
        <scheme val="major"/>
      </rPr>
      <t>o</t>
    </r>
    <r>
      <rPr>
        <b/>
        <sz val="9"/>
        <color theme="1"/>
        <rFont val="Aptos Display"/>
        <family val="2"/>
        <scheme val="major"/>
      </rPr>
      <t xml:space="preserve"> </t>
    </r>
  </si>
  <si>
    <t>Valor Unitário atualizado anualmente, através do Regulamento do Orçamento do Munícipio de Lisboa para cada ano financeiro - Ocupação do domínio público e privado municipal</t>
  </si>
  <si>
    <r>
      <t>C</t>
    </r>
    <r>
      <rPr>
        <b/>
        <vertAlign val="subscript"/>
        <sz val="9"/>
        <color theme="1"/>
        <rFont val="Aptos Display"/>
        <family val="2"/>
        <scheme val="major"/>
      </rPr>
      <t>1</t>
    </r>
  </si>
  <si>
    <t>Coeficiente da taxa de ocupação do domínio público e privado municipal:</t>
  </si>
  <si>
    <t>Na frente do prédio:</t>
  </si>
  <si>
    <t>Outra localização:</t>
  </si>
  <si>
    <t>Aprovação do plano e emissão de licença de ocupação da via pública</t>
  </si>
  <si>
    <t>Alteração à licença de ocupação da via pública</t>
  </si>
  <si>
    <t>Prorrogação do prazo do título de ocupação da via pública</t>
  </si>
  <si>
    <t>TRAÇADO URBANO C E D, ESPAÇOS DE ATIVIDADES ECONÓMICAS, ESPAÇOS VERDES DE ENQUADRAMENTO A INFRAESTRUTURAS VIÁRIAS, ESPAÇOS VERDES RIBEIRINHOS, ESPAÇOS DE USOS ESPECIAIS INFRAESTRUTURAS, ESPAÇOS A CONSOLIDAR: ESPAÇOS VERDES DE RECREIO
E PRODUÇÃO</t>
  </si>
  <si>
    <t>OCUPAÇÃO DA VIA PÚBLICA - ESPAÇOS A CONSOLIDAR</t>
  </si>
  <si>
    <t>ESPAÇOS CENTRAIS E RESIDENCIAIS, ESPAÇOS DE ATIVIDADES ECONÓMICAS, ESPAÇOS DE USOS ESPECIAIS DE EQUIPAMENTOS E ESPAÇOS DE USOS ESPECIAIS RIBEIRINHOS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</si>
</sst>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[$-816]d\ &quot;de&quot;\ mmmm\ &quot;de&quot;\ yyyy;@"/>
  </numFmts>
  <fonts count="68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 Narrow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b/>
      <vertAlign val="subscript"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vertAlign val="subscript"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48"/>
      <color theme="0"/>
      <name val="Aptos Display"/>
      <family val="2"/>
      <scheme val="major"/>
    </font>
    <font>
      <b/>
      <sz val="16"/>
      <color theme="0"/>
      <name val="Aptos Narrow"/>
      <family val="2"/>
      <scheme val="minor"/>
    </font>
    <font>
      <b/>
      <vertAlign val="subscript"/>
      <sz val="14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b/>
      <strike/>
      <sz val="11"/>
      <color theme="1"/>
      <name val="Arial Narrow"/>
      <family val="2"/>
    </font>
    <font>
      <strike/>
      <sz val="10"/>
      <color theme="1"/>
      <name val="Arial Narrow"/>
      <family val="2"/>
    </font>
    <font>
      <b/>
      <vertAlign val="superscript"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sz val="12"/>
      <color theme="4" tint="-0.249977111117893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b/>
      <sz val="16"/>
      <color theme="1"/>
      <name val="Aptos Narrow"/>
      <family val="2"/>
      <scheme val="minor"/>
    </font>
    <font>
      <b/>
      <sz val="11"/>
      <color theme="4" tint="-0.249977111117893"/>
      <name val="Aptos Display"/>
      <family val="2"/>
      <scheme val="major"/>
    </font>
    <font>
      <sz val="11"/>
      <color theme="4" tint="-0.249977111117893"/>
      <name val="Aptos Display"/>
      <family val="2"/>
      <scheme val="major"/>
    </font>
    <font>
      <sz val="9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1"/>
      <color theme="4" tint="-0.249977111117893"/>
      <name val="Aptos Narrow"/>
      <family val="2"/>
      <scheme val="minor"/>
    </font>
    <font>
      <b/>
      <sz val="11"/>
      <color rgb="FFFF0000"/>
      <name val="Aptos Display"/>
      <family val="2"/>
      <scheme val="major"/>
    </font>
    <font>
      <sz val="12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9"/>
      <name val="Aptos Narrow"/>
      <family val="2"/>
      <scheme val="minor"/>
    </font>
    <font>
      <vertAlign val="subscript"/>
      <sz val="9"/>
      <color theme="1"/>
      <name val="Aptos Narrow"/>
      <family val="2"/>
      <scheme val="minor"/>
    </font>
    <font>
      <vertAlign val="subscript"/>
      <sz val="9"/>
      <color theme="1"/>
      <name val="Aptos Display"/>
      <family val="2"/>
      <scheme val="major"/>
    </font>
    <font>
      <sz val="10"/>
      <color theme="1"/>
      <name val="Aptos"/>
      <family val="2"/>
    </font>
    <font>
      <b/>
      <sz val="1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9"/>
      <color theme="1"/>
      <name val="Aptos Display"/>
      <family val="2"/>
      <scheme val="major"/>
    </font>
    <font>
      <b/>
      <vertAlign val="subscript"/>
      <sz val="9"/>
      <color theme="1"/>
      <name val="Aptos Display"/>
      <family val="2"/>
      <scheme val="major"/>
    </font>
    <font>
      <b/>
      <sz val="9"/>
      <name val="Aptos Display"/>
      <family val="2"/>
      <scheme val="major"/>
    </font>
    <font>
      <sz val="10"/>
      <name val="Aptos Narrow"/>
      <family val="2"/>
      <scheme val="minor"/>
    </font>
    <font>
      <b/>
      <sz val="10"/>
      <color theme="0"/>
      <name val="Aptos Display"/>
      <family val="2"/>
      <scheme val="major"/>
    </font>
    <font>
      <b/>
      <vertAlign val="superscript"/>
      <sz val="11"/>
      <color theme="1"/>
      <name val="Aptos Display"/>
      <family val="2"/>
      <scheme val="major"/>
    </font>
    <font>
      <b/>
      <sz val="12"/>
      <color theme="4" tint="-0.249977111117893"/>
      <name val="Aptos Display"/>
      <family val="2"/>
      <scheme val="major"/>
    </font>
    <font>
      <strike/>
      <vertAlign val="subscript"/>
      <sz val="11"/>
      <color theme="1"/>
      <name val="Aptos Narrow"/>
      <family val="2"/>
      <scheme val="minor"/>
    </font>
    <font>
      <sz val="9"/>
      <name val="Aptos Display"/>
      <family val="2"/>
      <scheme val="major"/>
    </font>
    <font>
      <sz val="9"/>
      <color theme="4" tint="-0.249977111117893"/>
      <name val="Aptos Display"/>
      <family val="2"/>
      <scheme val="major"/>
    </font>
    <font>
      <sz val="9"/>
      <color theme="4" tint="-0.249977111117893"/>
      <name val="Aptos Narrow"/>
      <family val="2"/>
      <scheme val="minor"/>
    </font>
    <font>
      <sz val="11"/>
      <name val="Aptos Display"/>
      <family val="2"/>
      <scheme val="major"/>
    </font>
    <font>
      <b/>
      <sz val="11"/>
      <color theme="1"/>
      <name val="Aptos Narrow"/>
      <family val="2"/>
    </font>
    <font>
      <u/>
      <sz val="10"/>
      <color theme="10"/>
      <name val="Aptos Narrow"/>
      <family val="2"/>
      <scheme val="minor"/>
    </font>
    <font>
      <b/>
      <sz val="11"/>
      <color theme="4" tint="-0.249977111117893"/>
      <name val="Aptos Narrow"/>
      <family val="2"/>
    </font>
    <font>
      <b/>
      <u/>
      <sz val="11"/>
      <name val="Aptos Narrow"/>
      <family val="2"/>
      <scheme val="minor"/>
    </font>
    <font>
      <vertAlign val="subscript"/>
      <sz val="10"/>
      <color theme="1"/>
      <name val="Aptos Display"/>
      <family val="2"/>
      <scheme val="major"/>
    </font>
    <font>
      <b/>
      <vertAlign val="subscript"/>
      <sz val="11"/>
      <name val="Aptos Narrow"/>
      <family val="2"/>
      <scheme val="minor"/>
    </font>
    <font>
      <b/>
      <sz val="9"/>
      <name val="Aptos Narrow"/>
      <family val="2"/>
      <scheme val="minor"/>
    </font>
    <font>
      <vertAlign val="subscript"/>
      <sz val="9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Up">
        <fgColor theme="0" tint="-0.14996795556505021"/>
        <bgColor theme="0" tint="-4.9989318521683403E-2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60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horizontal="center"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2" fontId="2" fillId="2" borderId="51" xfId="0" applyNumberFormat="1" applyFont="1" applyFill="1" applyBorder="1" applyAlignment="1">
      <alignment horizontal="center" vertical="center" wrapText="1"/>
    </xf>
    <xf numFmtId="2" fontId="2" fillId="2" borderId="47" xfId="0" applyNumberFormat="1" applyFont="1" applyFill="1" applyBorder="1" applyAlignment="1">
      <alignment horizontal="center" vertical="center" wrapText="1"/>
    </xf>
    <xf numFmtId="2" fontId="2" fillId="2" borderId="55" xfId="0" applyNumberFormat="1" applyFont="1" applyFill="1" applyBorder="1" applyAlignment="1">
      <alignment horizontal="center" vertical="center" wrapText="1"/>
    </xf>
    <xf numFmtId="164" fontId="8" fillId="0" borderId="37" xfId="0" applyNumberFormat="1" applyFont="1" applyBorder="1" applyAlignment="1">
      <alignment horizontal="right" vertical="center" indent="1"/>
    </xf>
    <xf numFmtId="164" fontId="2" fillId="0" borderId="57" xfId="0" applyNumberFormat="1" applyFont="1" applyBorder="1" applyAlignment="1">
      <alignment horizontal="right" vertical="center" indent="1"/>
    </xf>
    <xf numFmtId="164" fontId="8" fillId="0" borderId="36" xfId="0" applyNumberFormat="1" applyFont="1" applyBorder="1" applyAlignment="1">
      <alignment horizontal="right" vertical="center" indent="1"/>
    </xf>
    <xf numFmtId="164" fontId="2" fillId="0" borderId="11" xfId="0" applyNumberFormat="1" applyFont="1" applyBorder="1" applyAlignment="1">
      <alignment horizontal="right" vertical="center" indent="1"/>
    </xf>
    <xf numFmtId="164" fontId="8" fillId="0" borderId="19" xfId="0" applyNumberFormat="1" applyFont="1" applyBorder="1" applyAlignment="1">
      <alignment horizontal="right" vertical="center" indent="1"/>
    </xf>
    <xf numFmtId="164" fontId="2" fillId="0" borderId="55" xfId="0" applyNumberFormat="1" applyFont="1" applyBorder="1" applyAlignment="1">
      <alignment horizontal="right" vertical="center" indent="1"/>
    </xf>
    <xf numFmtId="164" fontId="2" fillId="0" borderId="53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0" fontId="0" fillId="5" borderId="1" xfId="0" applyFill="1" applyBorder="1" applyAlignment="1">
      <alignment horizontal="left" vertical="center" wrapText="1"/>
    </xf>
    <xf numFmtId="164" fontId="2" fillId="5" borderId="4" xfId="0" applyNumberFormat="1" applyFont="1" applyFill="1" applyBorder="1" applyAlignment="1">
      <alignment horizontal="right" vertical="center" indent="1"/>
    </xf>
    <xf numFmtId="164" fontId="2" fillId="5" borderId="1" xfId="0" applyNumberFormat="1" applyFont="1" applyFill="1" applyBorder="1" applyAlignment="1">
      <alignment horizontal="right" vertical="center" indent="1"/>
    </xf>
    <xf numFmtId="164" fontId="2" fillId="5" borderId="5" xfId="0" applyNumberFormat="1" applyFont="1" applyFill="1" applyBorder="1" applyAlignment="1">
      <alignment horizontal="right" vertical="center" indent="1"/>
    </xf>
    <xf numFmtId="164" fontId="2" fillId="0" borderId="18" xfId="0" applyNumberFormat="1" applyFont="1" applyBorder="1" applyAlignment="1">
      <alignment horizontal="right" vertical="center" indent="1"/>
    </xf>
    <xf numFmtId="164" fontId="2" fillId="0" borderId="14" xfId="0" applyNumberFormat="1" applyFont="1" applyBorder="1" applyAlignment="1">
      <alignment horizontal="right" vertical="center" indent="1"/>
    </xf>
    <xf numFmtId="164" fontId="2" fillId="0" borderId="54" xfId="0" applyNumberFormat="1" applyFont="1" applyBorder="1" applyAlignment="1">
      <alignment horizontal="right" vertical="center" indent="1"/>
    </xf>
    <xf numFmtId="164" fontId="2" fillId="0" borderId="37" xfId="0" applyNumberFormat="1" applyFont="1" applyBorder="1" applyAlignment="1">
      <alignment horizontal="right" vertical="center" indent="1"/>
    </xf>
    <xf numFmtId="164" fontId="2" fillId="0" borderId="36" xfId="0" applyNumberFormat="1" applyFont="1" applyBorder="1" applyAlignment="1">
      <alignment horizontal="right" vertical="center" indent="1"/>
    </xf>
    <xf numFmtId="164" fontId="2" fillId="5" borderId="7" xfId="0" applyNumberFormat="1" applyFont="1" applyFill="1" applyBorder="1" applyAlignment="1">
      <alignment horizontal="right" vertical="center" inden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 indent="1"/>
    </xf>
    <xf numFmtId="0" fontId="3" fillId="2" borderId="56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5" borderId="4" xfId="0" applyFill="1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5" borderId="4" xfId="0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5" borderId="44" xfId="0" applyFill="1" applyBorder="1" applyAlignment="1">
      <alignment horizontal="left" vertical="center" indent="1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5" borderId="38" xfId="0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righ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vertical="center" wrapText="1"/>
    </xf>
    <xf numFmtId="164" fontId="2" fillId="0" borderId="30" xfId="0" applyNumberFormat="1" applyFont="1" applyBorder="1" applyAlignment="1">
      <alignment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5" fillId="3" borderId="34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5" borderId="44" xfId="0" applyFill="1" applyBorder="1" applyAlignment="1">
      <alignment horizontal="left" vertical="center" wrapText="1" indent="1"/>
    </xf>
    <xf numFmtId="0" fontId="2" fillId="2" borderId="31" xfId="0" applyFont="1" applyFill="1" applyBorder="1" applyAlignment="1">
      <alignment horizontal="left" vertical="center" indent="1"/>
    </xf>
    <xf numFmtId="0" fontId="2" fillId="2" borderId="56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right" vertical="center" indent="1"/>
    </xf>
    <xf numFmtId="164" fontId="2" fillId="2" borderId="56" xfId="0" applyNumberFormat="1" applyFont="1" applyFill="1" applyBorder="1" applyAlignment="1">
      <alignment horizontal="right" vertical="center" indent="1"/>
    </xf>
    <xf numFmtId="164" fontId="2" fillId="2" borderId="28" xfId="0" applyNumberFormat="1" applyFont="1" applyFill="1" applyBorder="1" applyAlignment="1">
      <alignment horizontal="right" vertical="center" indent="1"/>
    </xf>
    <xf numFmtId="0" fontId="0" fillId="2" borderId="56" xfId="0" applyFill="1" applyBorder="1" applyAlignment="1">
      <alignment horizontal="left" vertical="center"/>
    </xf>
    <xf numFmtId="0" fontId="0" fillId="2" borderId="56" xfId="0" applyFill="1" applyBorder="1" applyAlignment="1">
      <alignment horizontal="center" vertical="center"/>
    </xf>
    <xf numFmtId="0" fontId="0" fillId="0" borderId="46" xfId="0" applyBorder="1" applyAlignment="1">
      <alignment horizontal="left" vertical="center" indent="1"/>
    </xf>
    <xf numFmtId="0" fontId="0" fillId="0" borderId="38" xfId="0" applyBorder="1" applyAlignment="1">
      <alignment horizontal="left" vertical="center" wrapText="1"/>
    </xf>
    <xf numFmtId="164" fontId="8" fillId="2" borderId="56" xfId="0" applyNumberFormat="1" applyFont="1" applyFill="1" applyBorder="1" applyAlignment="1">
      <alignment horizontal="right" vertical="center" indent="1"/>
    </xf>
    <xf numFmtId="0" fontId="0" fillId="5" borderId="6" xfId="0" applyFill="1" applyBorder="1" applyAlignment="1">
      <alignment horizontal="left" vertical="center" indent="1"/>
    </xf>
    <xf numFmtId="164" fontId="2" fillId="5" borderId="6" xfId="0" applyNumberFormat="1" applyFont="1" applyFill="1" applyBorder="1" applyAlignment="1">
      <alignment horizontal="right" vertical="center" indent="1"/>
    </xf>
    <xf numFmtId="164" fontId="2" fillId="5" borderId="17" xfId="0" applyNumberFormat="1" applyFont="1" applyFill="1" applyBorder="1" applyAlignment="1">
      <alignment horizontal="right" vertical="center" indent="1"/>
    </xf>
    <xf numFmtId="164" fontId="2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indent="1"/>
    </xf>
    <xf numFmtId="0" fontId="18" fillId="0" borderId="14" xfId="0" applyFont="1" applyBorder="1" applyAlignment="1">
      <alignment horizontal="left" vertical="center"/>
    </xf>
    <xf numFmtId="164" fontId="20" fillId="0" borderId="36" xfId="0" applyNumberFormat="1" applyFont="1" applyBorder="1" applyAlignment="1">
      <alignment horizontal="right" vertical="center" indent="1"/>
    </xf>
    <xf numFmtId="164" fontId="19" fillId="0" borderId="11" xfId="0" applyNumberFormat="1" applyFont="1" applyBorder="1" applyAlignment="1">
      <alignment horizontal="right" vertical="center" indent="1"/>
    </xf>
    <xf numFmtId="0" fontId="21" fillId="0" borderId="0" xfId="0" applyFont="1"/>
    <xf numFmtId="0" fontId="18" fillId="0" borderId="0" xfId="0" applyFont="1"/>
    <xf numFmtId="1" fontId="2" fillId="2" borderId="5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164" fontId="2" fillId="5" borderId="5" xfId="0" applyNumberFormat="1" applyFont="1" applyFill="1" applyBorder="1" applyAlignment="1">
      <alignment vertical="center"/>
    </xf>
    <xf numFmtId="164" fontId="2" fillId="5" borderId="6" xfId="0" applyNumberFormat="1" applyFont="1" applyFill="1" applyBorder="1" applyAlignment="1">
      <alignment vertical="center"/>
    </xf>
    <xf numFmtId="164" fontId="2" fillId="5" borderId="17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 indent="1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 indent="1"/>
    </xf>
    <xf numFmtId="0" fontId="27" fillId="0" borderId="0" xfId="0" applyFont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right" vertical="center" indent="1"/>
    </xf>
    <xf numFmtId="0" fontId="28" fillId="4" borderId="0" xfId="0" applyFont="1" applyFill="1" applyAlignment="1">
      <alignment horizontal="right" vertical="center" indent="1"/>
    </xf>
    <xf numFmtId="2" fontId="3" fillId="0" borderId="13" xfId="0" applyNumberFormat="1" applyFont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1"/>
    </xf>
    <xf numFmtId="0" fontId="39" fillId="0" borderId="0" xfId="0" applyFont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44" fillId="0" borderId="0" xfId="0" applyFont="1" applyAlignment="1">
      <alignment horizontal="justify" vertical="center"/>
    </xf>
    <xf numFmtId="0" fontId="44" fillId="0" borderId="0" xfId="0" applyFont="1"/>
    <xf numFmtId="0" fontId="45" fillId="0" borderId="0" xfId="0" applyFont="1" applyAlignment="1">
      <alignment horizontal="left" vertical="center" indent="1"/>
    </xf>
    <xf numFmtId="0" fontId="3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1" fillId="0" borderId="0" xfId="0" applyFont="1" applyAlignment="1">
      <alignment horizontal="justify" vertical="center"/>
    </xf>
    <xf numFmtId="0" fontId="39" fillId="0" borderId="0" xfId="0" applyFont="1" applyAlignment="1">
      <alignment horizontal="right" vertical="center" indent="1"/>
    </xf>
    <xf numFmtId="0" fontId="5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5" borderId="1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52" fillId="4" borderId="0" xfId="0" applyFont="1" applyFill="1" applyAlignment="1">
      <alignment horizontal="left" vertical="center" indent="1"/>
    </xf>
    <xf numFmtId="164" fontId="2" fillId="0" borderId="58" xfId="0" applyNumberFormat="1" applyFont="1" applyBorder="1" applyAlignment="1">
      <alignment horizontal="right" vertical="center" indent="1"/>
    </xf>
    <xf numFmtId="0" fontId="6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left" vertical="top" wrapText="1"/>
    </xf>
    <xf numFmtId="0" fontId="6" fillId="0" borderId="60" xfId="0" applyFont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2" fontId="6" fillId="0" borderId="13" xfId="0" applyNumberFormat="1" applyFont="1" applyBorder="1" applyAlignment="1">
      <alignment horizontal="right" vertical="center"/>
    </xf>
    <xf numFmtId="0" fontId="0" fillId="5" borderId="18" xfId="0" applyFill="1" applyBorder="1" applyAlignment="1">
      <alignment horizontal="left" vertical="center" indent="1"/>
    </xf>
    <xf numFmtId="0" fontId="0" fillId="5" borderId="35" xfId="0" applyFill="1" applyBorder="1" applyAlignment="1">
      <alignment vertical="center" wrapText="1"/>
    </xf>
    <xf numFmtId="2" fontId="6" fillId="0" borderId="11" xfId="0" applyNumberFormat="1" applyFont="1" applyBorder="1" applyAlignment="1">
      <alignment horizontal="right" vertical="center"/>
    </xf>
    <xf numFmtId="0" fontId="2" fillId="2" borderId="56" xfId="0" applyFont="1" applyFill="1" applyBorder="1" applyAlignment="1">
      <alignment horizontal="left" vertical="center" indent="1"/>
    </xf>
    <xf numFmtId="164" fontId="2" fillId="2" borderId="56" xfId="0" applyNumberFormat="1" applyFont="1" applyFill="1" applyBorder="1" applyAlignment="1">
      <alignment horizontal="left" vertical="center" indent="1"/>
    </xf>
    <xf numFmtId="164" fontId="2" fillId="2" borderId="28" xfId="0" applyNumberFormat="1" applyFont="1" applyFill="1" applyBorder="1" applyAlignment="1">
      <alignment horizontal="left" vertical="center" indent="1"/>
    </xf>
    <xf numFmtId="164" fontId="2" fillId="2" borderId="31" xfId="0" applyNumberFormat="1" applyFont="1" applyFill="1" applyBorder="1" applyAlignment="1">
      <alignment horizontal="left" vertical="center" indent="1"/>
    </xf>
    <xf numFmtId="165" fontId="2" fillId="7" borderId="5" xfId="0" applyNumberFormat="1" applyFont="1" applyFill="1" applyBorder="1" applyAlignment="1">
      <alignment horizontal="center" vertical="center"/>
    </xf>
    <xf numFmtId="165" fontId="2" fillId="8" borderId="3" xfId="0" applyNumberFormat="1" applyFont="1" applyFill="1" applyBorder="1" applyAlignment="1">
      <alignment horizontal="center" vertical="center"/>
    </xf>
    <xf numFmtId="165" fontId="2" fillId="8" borderId="5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1" fontId="2" fillId="7" borderId="7" xfId="0" applyNumberFormat="1" applyFont="1" applyFill="1" applyBorder="1" applyAlignment="1">
      <alignment horizontal="center" vertical="center"/>
    </xf>
    <xf numFmtId="164" fontId="2" fillId="9" borderId="51" xfId="0" applyNumberFormat="1" applyFont="1" applyFill="1" applyBorder="1" applyAlignment="1">
      <alignment horizontal="right" vertical="center" indent="1"/>
    </xf>
    <xf numFmtId="164" fontId="2" fillId="9" borderId="52" xfId="0" quotePrefix="1" applyNumberFormat="1" applyFont="1" applyFill="1" applyBorder="1" applyAlignment="1">
      <alignment horizontal="right" vertical="center" indent="1"/>
    </xf>
    <xf numFmtId="0" fontId="2" fillId="9" borderId="2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64" fontId="0" fillId="0" borderId="52" xfId="0" applyNumberFormat="1" applyBorder="1" applyAlignment="1">
      <alignment horizontal="right" vertical="center" indent="1"/>
    </xf>
    <xf numFmtId="0" fontId="18" fillId="0" borderId="5" xfId="0" applyFont="1" applyBorder="1" applyAlignment="1">
      <alignment horizontal="center" vertical="center"/>
    </xf>
    <xf numFmtId="164" fontId="18" fillId="0" borderId="52" xfId="0" applyNumberFormat="1" applyFont="1" applyBorder="1" applyAlignment="1">
      <alignment horizontal="right" vertical="center" indent="1"/>
    </xf>
    <xf numFmtId="164" fontId="0" fillId="0" borderId="52" xfId="0" quotePrefix="1" applyNumberFormat="1" applyBorder="1" applyAlignment="1">
      <alignment horizontal="right" vertical="center" indent="1"/>
    </xf>
    <xf numFmtId="164" fontId="2" fillId="9" borderId="0" xfId="0" applyNumberFormat="1" applyFont="1" applyFill="1" applyAlignment="1">
      <alignment horizontal="center" vertical="center" wrapText="1"/>
    </xf>
    <xf numFmtId="164" fontId="2" fillId="9" borderId="52" xfId="0" applyNumberFormat="1" applyFont="1" applyFill="1" applyBorder="1" applyAlignment="1">
      <alignment horizontal="right" vertical="center" indent="1"/>
    </xf>
    <xf numFmtId="164" fontId="0" fillId="0" borderId="53" xfId="0" quotePrefix="1" applyNumberFormat="1" applyBorder="1" applyAlignment="1">
      <alignment horizontal="right" vertical="center" indent="1"/>
    </xf>
    <xf numFmtId="164" fontId="0" fillId="0" borderId="51" xfId="0" applyNumberFormat="1" applyBorder="1" applyAlignment="1">
      <alignment horizontal="right" vertical="center" indent="1"/>
    </xf>
    <xf numFmtId="164" fontId="0" fillId="0" borderId="4" xfId="0" applyNumberFormat="1" applyBorder="1" applyAlignment="1">
      <alignment horizontal="right" vertical="center" indent="1"/>
    </xf>
    <xf numFmtId="164" fontId="0" fillId="0" borderId="53" xfId="0" applyNumberFormat="1" applyBorder="1" applyAlignment="1">
      <alignment horizontal="right" vertical="center" indent="1"/>
    </xf>
    <xf numFmtId="164" fontId="2" fillId="9" borderId="4" xfId="0" applyNumberFormat="1" applyFont="1" applyFill="1" applyBorder="1" applyAlignment="1">
      <alignment horizontal="right" vertical="center" indent="1"/>
    </xf>
    <xf numFmtId="0" fontId="0" fillId="9" borderId="14" xfId="0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right" vertical="center" indent="1"/>
    </xf>
    <xf numFmtId="164" fontId="2" fillId="9" borderId="5" xfId="0" applyNumberFormat="1" applyFont="1" applyFill="1" applyBorder="1" applyAlignment="1">
      <alignment horizontal="right" vertical="center" indent="1"/>
    </xf>
    <xf numFmtId="0" fontId="18" fillId="5" borderId="4" xfId="0" applyFont="1" applyFill="1" applyBorder="1" applyAlignment="1">
      <alignment horizontal="left" vertical="center" inden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center" vertical="center"/>
    </xf>
    <xf numFmtId="164" fontId="18" fillId="5" borderId="4" xfId="0" applyNumberFormat="1" applyFont="1" applyFill="1" applyBorder="1" applyAlignment="1">
      <alignment horizontal="right" vertical="center" indent="1"/>
    </xf>
    <xf numFmtId="164" fontId="18" fillId="5" borderId="1" xfId="0" applyNumberFormat="1" applyFont="1" applyFill="1" applyBorder="1" applyAlignment="1">
      <alignment horizontal="right" vertical="center" indent="1"/>
    </xf>
    <xf numFmtId="164" fontId="18" fillId="5" borderId="5" xfId="0" applyNumberFormat="1" applyFont="1" applyFill="1" applyBorder="1" applyAlignment="1">
      <alignment horizontal="right" vertical="center" indent="1"/>
    </xf>
    <xf numFmtId="0" fontId="0" fillId="3" borderId="5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 indent="1"/>
    </xf>
    <xf numFmtId="164" fontId="2" fillId="3" borderId="1" xfId="0" applyNumberFormat="1" applyFont="1" applyFill="1" applyBorder="1" applyAlignment="1">
      <alignment horizontal="right" vertical="center" indent="1"/>
    </xf>
    <xf numFmtId="164" fontId="2" fillId="3" borderId="5" xfId="0" applyNumberFormat="1" applyFont="1" applyFill="1" applyBorder="1" applyAlignment="1">
      <alignment horizontal="right" vertical="center" indent="1"/>
    </xf>
    <xf numFmtId="0" fontId="0" fillId="3" borderId="37" xfId="0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right" vertical="center" indent="1"/>
    </xf>
    <xf numFmtId="164" fontId="2" fillId="3" borderId="38" xfId="0" applyNumberFormat="1" applyFont="1" applyFill="1" applyBorder="1" applyAlignment="1">
      <alignment horizontal="right" vertical="center" indent="1"/>
    </xf>
    <xf numFmtId="164" fontId="2" fillId="3" borderId="50" xfId="0" applyNumberFormat="1" applyFont="1" applyFill="1" applyBorder="1" applyAlignment="1">
      <alignment horizontal="right" vertical="center" indent="1"/>
    </xf>
    <xf numFmtId="0" fontId="2" fillId="3" borderId="50" xfId="0" applyFont="1" applyFill="1" applyBorder="1" applyAlignment="1">
      <alignment horizontal="center" vertical="center"/>
    </xf>
    <xf numFmtId="164" fontId="2" fillId="3" borderId="53" xfId="0" quotePrefix="1" applyNumberFormat="1" applyFont="1" applyFill="1" applyBorder="1" applyAlignment="1">
      <alignment horizontal="right" vertical="center" indent="1"/>
    </xf>
    <xf numFmtId="0" fontId="2" fillId="10" borderId="19" xfId="0" applyFont="1" applyFill="1" applyBorder="1" applyAlignment="1">
      <alignment horizontal="center" vertical="center"/>
    </xf>
    <xf numFmtId="164" fontId="2" fillId="10" borderId="18" xfId="0" applyNumberFormat="1" applyFont="1" applyFill="1" applyBorder="1" applyAlignment="1">
      <alignment horizontal="right" vertical="center" indent="1"/>
    </xf>
    <xf numFmtId="0" fontId="2" fillId="10" borderId="15" xfId="0" applyFont="1" applyFill="1" applyBorder="1" applyAlignment="1">
      <alignment horizontal="center" vertical="center"/>
    </xf>
    <xf numFmtId="164" fontId="2" fillId="10" borderId="32" xfId="0" quotePrefix="1" applyNumberFormat="1" applyFont="1" applyFill="1" applyBorder="1" applyAlignment="1">
      <alignment horizontal="right" vertical="center" indent="1"/>
    </xf>
    <xf numFmtId="164" fontId="2" fillId="0" borderId="52" xfId="0" applyNumberFormat="1" applyFont="1" applyBorder="1" applyAlignment="1">
      <alignment horizontal="right" vertical="center" indent="1"/>
    </xf>
    <xf numFmtId="0" fontId="0" fillId="10" borderId="19" xfId="0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164" fontId="2" fillId="7" borderId="4" xfId="0" applyNumberFormat="1" applyFont="1" applyFill="1" applyBorder="1" applyAlignment="1">
      <alignment horizontal="right" vertical="center" indent="1"/>
    </xf>
    <xf numFmtId="164" fontId="2" fillId="7" borderId="44" xfId="0" applyNumberFormat="1" applyFont="1" applyFill="1" applyBorder="1" applyAlignment="1">
      <alignment horizontal="right" vertical="center" indent="1"/>
    </xf>
    <xf numFmtId="0" fontId="0" fillId="7" borderId="37" xfId="0" applyFill="1" applyBorder="1" applyAlignment="1">
      <alignment horizontal="center" vertical="center"/>
    </xf>
    <xf numFmtId="164" fontId="2" fillId="7" borderId="50" xfId="0" applyNumberFormat="1" applyFont="1" applyFill="1" applyBorder="1" applyAlignment="1">
      <alignment horizontal="right" vertical="center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indent="1"/>
    </xf>
    <xf numFmtId="0" fontId="0" fillId="0" borderId="18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/>
    </xf>
    <xf numFmtId="164" fontId="2" fillId="8" borderId="4" xfId="0" applyNumberFormat="1" applyFont="1" applyFill="1" applyBorder="1" applyAlignment="1">
      <alignment horizontal="right" vertical="center" indent="1"/>
    </xf>
    <xf numFmtId="164" fontId="2" fillId="8" borderId="1" xfId="0" applyNumberFormat="1" applyFont="1" applyFill="1" applyBorder="1" applyAlignment="1">
      <alignment horizontal="right" vertical="center" indent="1"/>
    </xf>
    <xf numFmtId="164" fontId="2" fillId="8" borderId="5" xfId="0" applyNumberFormat="1" applyFont="1" applyFill="1" applyBorder="1" applyAlignment="1">
      <alignment horizontal="right" vertical="center" indent="1"/>
    </xf>
    <xf numFmtId="0" fontId="0" fillId="8" borderId="15" xfId="0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11" borderId="37" xfId="0" applyFont="1" applyFill="1" applyBorder="1" applyAlignment="1">
      <alignment horizontal="center" vertical="center"/>
    </xf>
    <xf numFmtId="0" fontId="34" fillId="5" borderId="0" xfId="0" applyFont="1" applyFill="1" applyAlignment="1">
      <alignment horizontal="left" vertical="center" indent="1"/>
    </xf>
    <xf numFmtId="0" fontId="0" fillId="5" borderId="0" xfId="0" applyFill="1" applyAlignment="1">
      <alignment horizontal="left" vertical="center" indent="1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right" vertical="center" indent="1"/>
    </xf>
    <xf numFmtId="0" fontId="34" fillId="5" borderId="0" xfId="0" applyFont="1" applyFill="1" applyAlignment="1">
      <alignment horizontal="right" vertical="center" indent="1"/>
    </xf>
    <xf numFmtId="0" fontId="28" fillId="5" borderId="0" xfId="0" applyFont="1" applyFill="1" applyAlignment="1">
      <alignment horizontal="left" vertical="center" indent="1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 indent="1"/>
    </xf>
    <xf numFmtId="0" fontId="23" fillId="5" borderId="0" xfId="0" applyFont="1" applyFill="1" applyAlignment="1">
      <alignment horizontal="left" vertical="center" indent="1"/>
    </xf>
    <xf numFmtId="0" fontId="34" fillId="5" borderId="0" xfId="0" applyFont="1" applyFill="1" applyAlignment="1">
      <alignment horizontal="left" vertical="center"/>
    </xf>
    <xf numFmtId="0" fontId="2" fillId="5" borderId="0" xfId="0" applyFont="1" applyFill="1" applyAlignment="1" applyProtection="1">
      <alignment horizontal="right" vertical="center" indent="1"/>
      <protection locked="0"/>
    </xf>
    <xf numFmtId="0" fontId="35" fillId="5" borderId="0" xfId="0" applyFont="1" applyFill="1" applyAlignment="1">
      <alignment horizontal="left" vertical="center" indent="1"/>
    </xf>
    <xf numFmtId="0" fontId="35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 indent="1"/>
    </xf>
    <xf numFmtId="0" fontId="33" fillId="5" borderId="0" xfId="1" applyFont="1" applyFill="1" applyAlignment="1" applyProtection="1">
      <alignment horizontal="left"/>
      <protection locked="0"/>
    </xf>
    <xf numFmtId="0" fontId="2" fillId="5" borderId="0" xfId="0" applyFont="1" applyFill="1" applyAlignment="1">
      <alignment horizontal="left" vertical="center"/>
    </xf>
    <xf numFmtId="1" fontId="0" fillId="5" borderId="0" xfId="0" applyNumberFormat="1" applyFill="1" applyAlignment="1">
      <alignment horizontal="right" vertical="center" indent="1"/>
    </xf>
    <xf numFmtId="0" fontId="54" fillId="5" borderId="0" xfId="0" applyFont="1" applyFill="1" applyAlignment="1">
      <alignment horizontal="right" vertical="center" indent="1"/>
    </xf>
    <xf numFmtId="0" fontId="5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 indent="1"/>
    </xf>
    <xf numFmtId="0" fontId="0" fillId="5" borderId="0" xfId="0" applyFill="1" applyAlignment="1">
      <alignment horizontal="left" vertical="center" indent="2"/>
    </xf>
    <xf numFmtId="2" fontId="0" fillId="5" borderId="0" xfId="0" applyNumberFormat="1" applyFill="1" applyAlignment="1">
      <alignment horizontal="right" vertical="center"/>
    </xf>
    <xf numFmtId="2" fontId="2" fillId="5" borderId="1" xfId="0" applyNumberFormat="1" applyFont="1" applyFill="1" applyBorder="1" applyAlignment="1">
      <alignment horizontal="right" vertical="center" indent="1"/>
    </xf>
    <xf numFmtId="1" fontId="2" fillId="5" borderId="1" xfId="0" applyNumberFormat="1" applyFont="1" applyFill="1" applyBorder="1" applyAlignment="1">
      <alignment horizontal="right" vertical="center" indent="1"/>
    </xf>
    <xf numFmtId="0" fontId="29" fillId="5" borderId="0" xfId="0" applyFont="1" applyFill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28" fillId="5" borderId="0" xfId="0" applyFont="1" applyFill="1" applyAlignment="1">
      <alignment horizontal="right" vertical="center" indent="1"/>
    </xf>
    <xf numFmtId="0" fontId="34" fillId="5" borderId="0" xfId="0" applyFont="1" applyFill="1" applyAlignment="1">
      <alignment horizontal="right" indent="1"/>
    </xf>
    <xf numFmtId="0" fontId="34" fillId="5" borderId="0" xfId="0" applyFont="1" applyFill="1" applyAlignment="1">
      <alignment horizontal="left"/>
    </xf>
    <xf numFmtId="0" fontId="47" fillId="5" borderId="0" xfId="0" applyFont="1" applyFill="1" applyAlignment="1">
      <alignment horizontal="left"/>
    </xf>
    <xf numFmtId="164" fontId="34" fillId="5" borderId="0" xfId="0" applyNumberFormat="1" applyFont="1" applyFill="1" applyAlignment="1">
      <alignment horizontal="right" wrapText="1" indent="1"/>
    </xf>
    <xf numFmtId="0" fontId="32" fillId="5" borderId="0" xfId="0" applyFont="1" applyFill="1" applyAlignment="1">
      <alignment horizontal="left" vertical="center"/>
    </xf>
    <xf numFmtId="0" fontId="46" fillId="5" borderId="0" xfId="0" applyFont="1" applyFill="1" applyAlignment="1">
      <alignment horizontal="left" vertical="center" indent="1"/>
    </xf>
    <xf numFmtId="164" fontId="34" fillId="5" borderId="0" xfId="0" applyNumberFormat="1" applyFont="1" applyFill="1" applyAlignment="1">
      <alignment horizontal="right" vertical="center" wrapText="1" indent="1"/>
    </xf>
    <xf numFmtId="0" fontId="48" fillId="5" borderId="0" xfId="0" applyFont="1" applyFill="1" applyAlignment="1">
      <alignment horizontal="right" vertical="center" indent="1"/>
    </xf>
    <xf numFmtId="0" fontId="32" fillId="5" borderId="0" xfId="0" applyFont="1" applyFill="1" applyAlignment="1">
      <alignment horizontal="left" vertical="center" wrapText="1" indent="1"/>
    </xf>
    <xf numFmtId="164" fontId="32" fillId="5" borderId="0" xfId="0" applyNumberFormat="1" applyFont="1" applyFill="1" applyAlignment="1">
      <alignment horizontal="right" vertical="center" indent="1"/>
    </xf>
    <xf numFmtId="0" fontId="32" fillId="5" borderId="0" xfId="0" applyFont="1" applyFill="1" applyAlignment="1">
      <alignment horizontal="left" vertical="center" indent="1"/>
    </xf>
    <xf numFmtId="0" fontId="36" fillId="5" borderId="0" xfId="0" applyFont="1" applyFill="1" applyAlignment="1">
      <alignment horizontal="left"/>
    </xf>
    <xf numFmtId="0" fontId="36" fillId="5" borderId="0" xfId="0" applyFont="1" applyFill="1" applyAlignment="1">
      <alignment horizontal="left" vertical="center" indent="1"/>
    </xf>
    <xf numFmtId="0" fontId="30" fillId="5" borderId="0" xfId="0" applyFont="1" applyFill="1" applyAlignment="1">
      <alignment horizontal="right" indent="1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0" fontId="56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 indent="1"/>
    </xf>
    <xf numFmtId="164" fontId="30" fillId="5" borderId="0" xfId="0" applyNumberFormat="1" applyFont="1" applyFill="1" applyAlignment="1">
      <alignment horizontal="right" vertical="center" wrapText="1" indent="1"/>
    </xf>
    <xf numFmtId="164" fontId="46" fillId="5" borderId="0" xfId="0" applyNumberFormat="1" applyFont="1" applyFill="1" applyAlignment="1">
      <alignment horizontal="right" vertical="center" indent="1"/>
    </xf>
    <xf numFmtId="0" fontId="48" fillId="5" borderId="0" xfId="0" applyFont="1" applyFill="1" applyAlignment="1">
      <alignment horizontal="left" vertical="center" indent="1"/>
    </xf>
    <xf numFmtId="0" fontId="36" fillId="5" borderId="0" xfId="0" applyFont="1" applyFill="1" applyAlignment="1">
      <alignment horizontal="right" vertical="center"/>
    </xf>
    <xf numFmtId="164" fontId="48" fillId="5" borderId="0" xfId="0" applyNumberFormat="1" applyFont="1" applyFill="1" applyAlignment="1">
      <alignment horizontal="right" vertical="center" indent="1"/>
    </xf>
    <xf numFmtId="0" fontId="48" fillId="5" borderId="0" xfId="0" applyFont="1" applyFill="1" applyAlignment="1">
      <alignment horizontal="left" vertical="center" wrapText="1" indent="1"/>
    </xf>
    <xf numFmtId="0" fontId="32" fillId="5" borderId="0" xfId="0" applyFont="1" applyFill="1" applyAlignment="1">
      <alignment horizontal="left" vertical="center" wrapText="1"/>
    </xf>
    <xf numFmtId="0" fontId="32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right" vertical="center" indent="1"/>
    </xf>
    <xf numFmtId="0" fontId="48" fillId="5" borderId="0" xfId="0" applyFont="1" applyFill="1" applyAlignment="1">
      <alignment horizontal="left" vertical="top" indent="1"/>
    </xf>
    <xf numFmtId="0" fontId="48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2" fillId="3" borderId="35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left"/>
    </xf>
    <xf numFmtId="0" fontId="48" fillId="5" borderId="47" xfId="0" applyFont="1" applyFill="1" applyBorder="1" applyAlignment="1">
      <alignment horizontal="left" vertical="top" indent="1"/>
    </xf>
    <xf numFmtId="0" fontId="32" fillId="5" borderId="47" xfId="0" applyFont="1" applyFill="1" applyBorder="1" applyAlignment="1">
      <alignment horizontal="left" vertical="center" wrapText="1"/>
    </xf>
    <xf numFmtId="0" fontId="32" fillId="5" borderId="47" xfId="0" applyFont="1" applyFill="1" applyBorder="1" applyAlignment="1">
      <alignment horizontal="left" vertical="top" wrapText="1"/>
    </xf>
    <xf numFmtId="0" fontId="36" fillId="5" borderId="47" xfId="0" applyFont="1" applyFill="1" applyBorder="1" applyAlignment="1">
      <alignment horizontal="right" vertical="center" indent="1"/>
    </xf>
    <xf numFmtId="0" fontId="48" fillId="5" borderId="47" xfId="0" applyFont="1" applyFill="1" applyBorder="1" applyAlignment="1">
      <alignment horizontal="right" vertical="center" indent="1"/>
    </xf>
    <xf numFmtId="0" fontId="54" fillId="5" borderId="0" xfId="0" applyFont="1" applyFill="1" applyAlignment="1">
      <alignment horizontal="right" vertical="top" indent="1"/>
    </xf>
    <xf numFmtId="0" fontId="54" fillId="5" borderId="0" xfId="0" applyFont="1" applyFill="1" applyAlignment="1">
      <alignment horizontal="left" vertical="top"/>
    </xf>
    <xf numFmtId="2" fontId="0" fillId="5" borderId="16" xfId="0" applyNumberFormat="1" applyFill="1" applyBorder="1" applyAlignment="1" applyProtection="1">
      <alignment horizontal="right" vertical="center"/>
      <protection locked="0"/>
    </xf>
    <xf numFmtId="0" fontId="0" fillId="12" borderId="16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" fontId="0" fillId="5" borderId="16" xfId="0" applyNumberFormat="1" applyFill="1" applyBorder="1" applyAlignment="1" applyProtection="1">
      <alignment horizontal="right" vertical="center"/>
      <protection locked="0"/>
    </xf>
    <xf numFmtId="0" fontId="34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4" fontId="0" fillId="5" borderId="35" xfId="0" applyNumberFormat="1" applyFill="1" applyBorder="1" applyAlignment="1" applyProtection="1">
      <alignment horizontal="right" vertical="center" indent="1"/>
      <protection locked="0"/>
    </xf>
    <xf numFmtId="2" fontId="0" fillId="5" borderId="0" xfId="0" applyNumberFormat="1" applyFill="1" applyAlignment="1">
      <alignment horizontal="right" vertical="center" indent="1"/>
    </xf>
    <xf numFmtId="0" fontId="27" fillId="5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right" vertical="center" indent="1"/>
    </xf>
    <xf numFmtId="0" fontId="37" fillId="5" borderId="0" xfId="0" applyFont="1" applyFill="1" applyAlignment="1">
      <alignment horizontal="right" vertical="center" indent="1"/>
    </xf>
    <xf numFmtId="0" fontId="31" fillId="5" borderId="0" xfId="0" applyFont="1" applyFill="1" applyAlignment="1">
      <alignment horizontal="right" vertical="center" indent="1"/>
    </xf>
    <xf numFmtId="0" fontId="45" fillId="5" borderId="0" xfId="0" applyFont="1" applyFill="1" applyAlignment="1">
      <alignment horizontal="left" vertical="center"/>
    </xf>
    <xf numFmtId="3" fontId="0" fillId="5" borderId="1" xfId="0" applyNumberFormat="1" applyFill="1" applyBorder="1" applyAlignment="1" applyProtection="1">
      <alignment horizontal="right" vertical="center" indent="1"/>
      <protection locked="0"/>
    </xf>
    <xf numFmtId="0" fontId="24" fillId="5" borderId="0" xfId="0" applyFont="1" applyFill="1" applyAlignment="1">
      <alignment horizontal="right" vertical="center" indent="1"/>
    </xf>
    <xf numFmtId="0" fontId="32" fillId="5" borderId="0" xfId="0" applyFont="1" applyFill="1" applyAlignment="1">
      <alignment vertical="top" wrapText="1"/>
    </xf>
    <xf numFmtId="0" fontId="34" fillId="5" borderId="47" xfId="0" applyFont="1" applyFill="1" applyBorder="1" applyAlignment="1">
      <alignment horizontal="left" vertical="center" indent="1"/>
    </xf>
    <xf numFmtId="0" fontId="32" fillId="5" borderId="47" xfId="0" applyFont="1" applyFill="1" applyBorder="1" applyAlignment="1">
      <alignment vertical="top" wrapText="1"/>
    </xf>
    <xf numFmtId="164" fontId="30" fillId="5" borderId="0" xfId="0" applyNumberFormat="1" applyFont="1" applyFill="1" applyAlignment="1">
      <alignment horizontal="right" wrapText="1" indent="1"/>
    </xf>
    <xf numFmtId="4" fontId="0" fillId="5" borderId="16" xfId="0" applyNumberFormat="1" applyFill="1" applyBorder="1" applyAlignment="1" applyProtection="1">
      <alignment horizontal="right" vertical="center" indent="1"/>
      <protection locked="0"/>
    </xf>
    <xf numFmtId="3" fontId="0" fillId="5" borderId="35" xfId="0" applyNumberFormat="1" applyFill="1" applyBorder="1" applyAlignment="1" applyProtection="1">
      <alignment horizontal="right" vertical="center" indent="1"/>
      <protection locked="0"/>
    </xf>
    <xf numFmtId="3" fontId="0" fillId="5" borderId="0" xfId="0" applyNumberFormat="1" applyFill="1" applyAlignment="1" applyProtection="1">
      <alignment horizontal="right" vertical="center" indent="1"/>
      <protection locked="0"/>
    </xf>
    <xf numFmtId="0" fontId="35" fillId="5" borderId="0" xfId="0" applyFont="1" applyFill="1" applyAlignment="1">
      <alignment horizontal="right" vertical="center" indent="2"/>
    </xf>
    <xf numFmtId="1" fontId="2" fillId="5" borderId="0" xfId="0" applyNumberFormat="1" applyFont="1" applyFill="1" applyAlignment="1">
      <alignment horizontal="right" vertical="center" indent="1"/>
    </xf>
    <xf numFmtId="164" fontId="36" fillId="5" borderId="0" xfId="0" applyNumberFormat="1" applyFont="1" applyFill="1" applyAlignment="1">
      <alignment horizontal="left" vertical="center" wrapText="1" indent="1"/>
    </xf>
    <xf numFmtId="0" fontId="48" fillId="5" borderId="47" xfId="0" applyFont="1" applyFill="1" applyBorder="1" applyAlignment="1">
      <alignment horizontal="left" vertical="center" indent="1"/>
    </xf>
    <xf numFmtId="0" fontId="32" fillId="5" borderId="47" xfId="0" applyFont="1" applyFill="1" applyBorder="1" applyAlignment="1">
      <alignment horizontal="left" vertical="center"/>
    </xf>
    <xf numFmtId="0" fontId="36" fillId="5" borderId="47" xfId="0" applyFont="1" applyFill="1" applyBorder="1" applyAlignment="1">
      <alignment horizontal="right" vertical="center"/>
    </xf>
    <xf numFmtId="0" fontId="38" fillId="5" borderId="0" xfId="0" applyFont="1" applyFill="1" applyAlignment="1">
      <alignment horizontal="left" vertical="center" indent="1"/>
    </xf>
    <xf numFmtId="0" fontId="45" fillId="5" borderId="0" xfId="0" applyFont="1" applyFill="1" applyAlignment="1">
      <alignment horizontal="right" vertical="center" indent="1"/>
    </xf>
    <xf numFmtId="0" fontId="2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 indent="1"/>
    </xf>
    <xf numFmtId="0" fontId="39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vertical="center" indent="1"/>
    </xf>
    <xf numFmtId="0" fontId="14" fillId="5" borderId="16" xfId="0" applyFont="1" applyFill="1" applyBorder="1" applyAlignment="1" applyProtection="1">
      <alignment horizontal="right" vertical="center" indent="1"/>
      <protection locked="0"/>
    </xf>
    <xf numFmtId="0" fontId="3" fillId="5" borderId="0" xfId="0" applyFont="1" applyFill="1" applyAlignment="1">
      <alignment horizontal="left" vertical="center"/>
    </xf>
    <xf numFmtId="0" fontId="0" fillId="5" borderId="16" xfId="0" applyFill="1" applyBorder="1" applyAlignment="1" applyProtection="1">
      <alignment horizontal="right" vertical="center" indent="1"/>
      <protection locked="0"/>
    </xf>
    <xf numFmtId="2" fontId="0" fillId="5" borderId="16" xfId="0" applyNumberFormat="1" applyFill="1" applyBorder="1" applyAlignment="1" applyProtection="1">
      <alignment horizontal="right" vertical="center" indent="1"/>
      <protection locked="0"/>
    </xf>
    <xf numFmtId="0" fontId="0" fillId="5" borderId="0" xfId="0" applyFill="1" applyAlignment="1">
      <alignment horizontal="center" vertical="center"/>
    </xf>
    <xf numFmtId="1" fontId="0" fillId="5" borderId="16" xfId="0" applyNumberFormat="1" applyFill="1" applyBorder="1" applyAlignment="1" applyProtection="1">
      <alignment horizontal="right" vertical="center" indent="1"/>
      <protection locked="0"/>
    </xf>
    <xf numFmtId="0" fontId="32" fillId="5" borderId="0" xfId="0" applyFont="1" applyFill="1" applyAlignment="1">
      <alignment vertical="center"/>
    </xf>
    <xf numFmtId="4" fontId="0" fillId="5" borderId="0" xfId="0" applyNumberFormat="1" applyFill="1" applyAlignment="1">
      <alignment horizontal="right" vertical="center"/>
    </xf>
    <xf numFmtId="4" fontId="0" fillId="5" borderId="0" xfId="0" applyNumberFormat="1" applyFill="1" applyAlignment="1">
      <alignment horizontal="right" vertical="center" indent="1"/>
    </xf>
    <xf numFmtId="0" fontId="1" fillId="5" borderId="0" xfId="0" applyFont="1" applyFill="1" applyAlignment="1">
      <alignment horizontal="right" vertical="center" indent="1"/>
    </xf>
    <xf numFmtId="0" fontId="37" fillId="5" borderId="0" xfId="0" applyFont="1" applyFill="1" applyAlignment="1">
      <alignment horizontal="left" vertical="center" indent="1"/>
    </xf>
    <xf numFmtId="0" fontId="25" fillId="5" borderId="0" xfId="0" applyFont="1" applyFill="1" applyAlignment="1">
      <alignment horizontal="left"/>
    </xf>
    <xf numFmtId="0" fontId="47" fillId="5" borderId="0" xfId="0" applyFont="1" applyFill="1" applyAlignment="1">
      <alignment horizontal="left" vertical="center"/>
    </xf>
    <xf numFmtId="0" fontId="50" fillId="5" borderId="0" xfId="0" applyFont="1" applyFill="1" applyAlignment="1">
      <alignment horizontal="right" vertical="center" indent="1"/>
    </xf>
    <xf numFmtId="0" fontId="41" fillId="5" borderId="0" xfId="0" applyFont="1" applyFill="1" applyAlignment="1">
      <alignment horizontal="left" vertical="center" wrapText="1" indent="1"/>
    </xf>
    <xf numFmtId="0" fontId="41" fillId="5" borderId="0" xfId="0" applyFont="1" applyFill="1" applyAlignment="1">
      <alignment horizontal="left" vertical="center" indent="1"/>
    </xf>
    <xf numFmtId="0" fontId="45" fillId="5" borderId="0" xfId="0" applyFont="1" applyFill="1" applyAlignment="1">
      <alignment horizontal="right" indent="1"/>
    </xf>
    <xf numFmtId="0" fontId="32" fillId="5" borderId="47" xfId="0" applyFont="1" applyFill="1" applyBorder="1" applyAlignment="1">
      <alignment horizontal="left" vertical="center" indent="1"/>
    </xf>
    <xf numFmtId="3" fontId="2" fillId="5" borderId="0" xfId="0" applyNumberFormat="1" applyFont="1" applyFill="1" applyAlignment="1">
      <alignment horizontal="left" vertical="center" indent="1"/>
    </xf>
    <xf numFmtId="3" fontId="0" fillId="5" borderId="0" xfId="0" applyNumberFormat="1" applyFill="1" applyAlignment="1">
      <alignment horizontal="right" vertical="center"/>
    </xf>
    <xf numFmtId="0" fontId="33" fillId="5" borderId="0" xfId="1" applyFont="1" applyFill="1" applyAlignment="1" applyProtection="1">
      <alignment horizontal="left"/>
    </xf>
    <xf numFmtId="0" fontId="0" fillId="5" borderId="0" xfId="0" applyFill="1" applyAlignment="1" applyProtection="1">
      <alignment horizontal="right" vertical="center" indent="1"/>
      <protection locked="0"/>
    </xf>
    <xf numFmtId="1" fontId="0" fillId="5" borderId="0" xfId="0" applyNumberFormat="1" applyFill="1" applyAlignment="1" applyProtection="1">
      <alignment horizontal="right" vertical="center" indent="1"/>
      <protection locked="0"/>
    </xf>
    <xf numFmtId="4" fontId="0" fillId="5" borderId="0" xfId="0" applyNumberFormat="1" applyFill="1" applyAlignment="1">
      <alignment horizontal="right" vertical="center" indent="2"/>
    </xf>
    <xf numFmtId="0" fontId="0" fillId="5" borderId="1" xfId="0" applyFill="1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indent="1"/>
    </xf>
    <xf numFmtId="0" fontId="45" fillId="5" borderId="0" xfId="0" applyFont="1" applyFill="1" applyAlignment="1">
      <alignment horizontal="left" vertical="center" indent="1"/>
    </xf>
    <xf numFmtId="0" fontId="47" fillId="5" borderId="0" xfId="0" applyFont="1" applyFill="1" applyAlignment="1">
      <alignment horizontal="left" vertical="center" indent="1"/>
    </xf>
    <xf numFmtId="164" fontId="32" fillId="5" borderId="0" xfId="0" applyNumberFormat="1" applyFont="1" applyFill="1" applyAlignment="1">
      <alignment horizontal="left" vertical="center" wrapText="1" indent="1"/>
    </xf>
    <xf numFmtId="0" fontId="45" fillId="3" borderId="1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0" fontId="0" fillId="5" borderId="0" xfId="0" applyFill="1" applyAlignment="1" applyProtection="1">
      <alignment horizontal="right" vertical="center"/>
      <protection locked="0"/>
    </xf>
    <xf numFmtId="0" fontId="2" fillId="5" borderId="0" xfId="0" applyFont="1" applyFill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2" fontId="45" fillId="3" borderId="1" xfId="0" applyNumberFormat="1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2" fontId="2" fillId="5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right" vertical="center" indent="1"/>
    </xf>
    <xf numFmtId="0" fontId="30" fillId="5" borderId="0" xfId="0" applyFont="1" applyFill="1" applyAlignment="1">
      <alignment horizontal="left" indent="1"/>
    </xf>
    <xf numFmtId="0" fontId="57" fillId="5" borderId="0" xfId="0" applyFont="1" applyFill="1" applyAlignment="1">
      <alignment horizontal="left" vertical="center" indent="1"/>
    </xf>
    <xf numFmtId="164" fontId="58" fillId="5" borderId="0" xfId="0" applyNumberFormat="1" applyFont="1" applyFill="1" applyAlignment="1">
      <alignment horizontal="left" vertical="center" wrapText="1" indent="1"/>
    </xf>
    <xf numFmtId="164" fontId="57" fillId="5" borderId="0" xfId="0" applyNumberFormat="1" applyFont="1" applyFill="1" applyAlignment="1">
      <alignment horizontal="left" vertical="center" wrapText="1" indent="1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1" fontId="0" fillId="5" borderId="37" xfId="0" applyNumberFormat="1" applyFill="1" applyBorder="1" applyAlignment="1">
      <alignment horizontal="center" vertical="center"/>
    </xf>
    <xf numFmtId="1" fontId="0" fillId="5" borderId="48" xfId="0" applyNumberFormat="1" applyFill="1" applyBorder="1" applyAlignment="1">
      <alignment horizontal="center" vertical="center"/>
    </xf>
    <xf numFmtId="1" fontId="0" fillId="5" borderId="49" xfId="0" applyNumberForma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1" fontId="0" fillId="5" borderId="19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58" xfId="0" applyNumberFormat="1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1" fontId="0" fillId="5" borderId="36" xfId="0" applyNumberFormat="1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1" fontId="0" fillId="5" borderId="20" xfId="0" applyNumberFormat="1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1" fontId="0" fillId="5" borderId="39" xfId="0" applyNumberFormat="1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25" fillId="5" borderId="47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2" fillId="5" borderId="14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 wrapText="1"/>
    </xf>
    <xf numFmtId="0" fontId="45" fillId="3" borderId="39" xfId="0" applyFont="1" applyFill="1" applyBorder="1" applyAlignment="1">
      <alignment horizontal="center" vertical="center"/>
    </xf>
    <xf numFmtId="2" fontId="45" fillId="3" borderId="38" xfId="0" applyNumberFormat="1" applyFont="1" applyFill="1" applyBorder="1" applyAlignment="1">
      <alignment horizontal="center" vertical="center" wrapText="1"/>
    </xf>
    <xf numFmtId="0" fontId="45" fillId="3" borderId="14" xfId="0" applyFont="1" applyFill="1" applyBorder="1" applyAlignment="1">
      <alignment horizontal="center" vertical="center"/>
    </xf>
    <xf numFmtId="0" fontId="45" fillId="3" borderId="16" xfId="0" applyFont="1" applyFill="1" applyBorder="1" applyAlignment="1">
      <alignment horizontal="center" vertical="center" wrapText="1"/>
    </xf>
    <xf numFmtId="0" fontId="45" fillId="3" borderId="14" xfId="0" applyFont="1" applyFill="1" applyBorder="1" applyAlignment="1">
      <alignment horizontal="center" vertical="center" wrapText="1"/>
    </xf>
    <xf numFmtId="164" fontId="36" fillId="5" borderId="0" xfId="0" applyNumberFormat="1" applyFont="1" applyFill="1" applyAlignment="1">
      <alignment horizontal="left" wrapText="1"/>
    </xf>
    <xf numFmtId="0" fontId="34" fillId="5" borderId="0" xfId="0" applyFont="1" applyFill="1" applyAlignment="1">
      <alignment horizontal="left" indent="1"/>
    </xf>
    <xf numFmtId="0" fontId="45" fillId="5" borderId="0" xfId="0" applyFont="1" applyFill="1" applyAlignment="1">
      <alignment horizontal="left"/>
    </xf>
    <xf numFmtId="164" fontId="32" fillId="5" borderId="0" xfId="0" applyNumberFormat="1" applyFont="1" applyFill="1" applyAlignment="1">
      <alignment horizontal="left" wrapText="1"/>
    </xf>
    <xf numFmtId="0" fontId="45" fillId="3" borderId="16" xfId="0" applyFont="1" applyFill="1" applyBorder="1" applyAlignment="1">
      <alignment horizontal="center" vertical="center"/>
    </xf>
    <xf numFmtId="0" fontId="45" fillId="3" borderId="38" xfId="0" applyFont="1" applyFill="1" applyBorder="1" applyAlignment="1">
      <alignment horizontal="center" vertical="center" wrapText="1"/>
    </xf>
    <xf numFmtId="164" fontId="2" fillId="8" borderId="44" xfId="0" applyNumberFormat="1" applyFont="1" applyFill="1" applyBorder="1" applyAlignment="1">
      <alignment horizontal="right" vertical="center" indent="1"/>
    </xf>
    <xf numFmtId="164" fontId="2" fillId="8" borderId="38" xfId="0" applyNumberFormat="1" applyFont="1" applyFill="1" applyBorder="1" applyAlignment="1">
      <alignment horizontal="right" vertical="center" indent="1"/>
    </xf>
    <xf numFmtId="164" fontId="2" fillId="8" borderId="50" xfId="0" applyNumberFormat="1" applyFont="1" applyFill="1" applyBorder="1" applyAlignment="1">
      <alignment horizontal="right" vertical="center" indent="1"/>
    </xf>
    <xf numFmtId="1" fontId="48" fillId="5" borderId="0" xfId="0" applyNumberFormat="1" applyFont="1" applyFill="1" applyAlignment="1">
      <alignment horizontal="right" vertical="center" indent="1"/>
    </xf>
    <xf numFmtId="0" fontId="36" fillId="5" borderId="0" xfId="0" applyFont="1" applyFill="1" applyAlignment="1">
      <alignment horizontal="left" vertical="center"/>
    </xf>
    <xf numFmtId="0" fontId="45" fillId="3" borderId="14" xfId="0" applyFont="1" applyFill="1" applyBorder="1" applyAlignment="1">
      <alignment horizontal="left" vertical="center" indent="1"/>
    </xf>
    <xf numFmtId="0" fontId="45" fillId="3" borderId="39" xfId="0" applyFont="1" applyFill="1" applyBorder="1" applyAlignment="1">
      <alignment horizontal="left" vertical="center" indent="1"/>
    </xf>
    <xf numFmtId="0" fontId="45" fillId="3" borderId="16" xfId="0" applyFont="1" applyFill="1" applyBorder="1" applyAlignment="1">
      <alignment horizontal="left" vertical="center" indent="1"/>
    </xf>
    <xf numFmtId="0" fontId="45" fillId="3" borderId="37" xfId="0" applyFont="1" applyFill="1" applyBorder="1" applyAlignment="1">
      <alignment horizontal="left" vertical="center" indent="1"/>
    </xf>
    <xf numFmtId="0" fontId="0" fillId="5" borderId="1" xfId="0" applyFill="1" applyBorder="1" applyAlignment="1">
      <alignment horizontal="center" vertical="center"/>
    </xf>
    <xf numFmtId="0" fontId="45" fillId="3" borderId="39" xfId="0" applyFont="1" applyFill="1" applyBorder="1" applyAlignment="1">
      <alignment vertical="center"/>
    </xf>
    <xf numFmtId="0" fontId="45" fillId="3" borderId="16" xfId="0" applyFont="1" applyFill="1" applyBorder="1" applyAlignment="1">
      <alignment vertical="center"/>
    </xf>
    <xf numFmtId="0" fontId="0" fillId="5" borderId="19" xfId="0" applyFill="1" applyBorder="1" applyAlignment="1">
      <alignment horizontal="center" vertical="center"/>
    </xf>
    <xf numFmtId="1" fontId="0" fillId="5" borderId="47" xfId="0" applyNumberFormat="1" applyFill="1" applyBorder="1" applyAlignment="1">
      <alignment horizontal="center" vertical="center"/>
    </xf>
    <xf numFmtId="0" fontId="45" fillId="3" borderId="48" xfId="0" applyFont="1" applyFill="1" applyBorder="1" applyAlignment="1">
      <alignment vertical="center"/>
    </xf>
    <xf numFmtId="0" fontId="45" fillId="3" borderId="49" xfId="0" applyFont="1" applyFill="1" applyBorder="1" applyAlignment="1">
      <alignment vertical="center"/>
    </xf>
    <xf numFmtId="2" fontId="48" fillId="5" borderId="0" xfId="0" applyNumberFormat="1" applyFont="1" applyFill="1" applyAlignment="1">
      <alignment horizontal="right" vertical="center" indent="1"/>
    </xf>
    <xf numFmtId="2" fontId="48" fillId="5" borderId="47" xfId="0" applyNumberFormat="1" applyFont="1" applyFill="1" applyBorder="1" applyAlignment="1">
      <alignment horizontal="right" vertical="center" indent="1"/>
    </xf>
    <xf numFmtId="0" fontId="23" fillId="0" borderId="0" xfId="0" applyFont="1" applyAlignment="1">
      <alignment horizontal="left" vertical="top"/>
    </xf>
    <xf numFmtId="0" fontId="63" fillId="5" borderId="0" xfId="1" applyFont="1" applyFill="1" applyAlignment="1" applyProtection="1">
      <alignment horizontal="right" vertical="top"/>
      <protection locked="0"/>
    </xf>
    <xf numFmtId="0" fontId="23" fillId="5" borderId="0" xfId="0" applyFont="1" applyFill="1" applyAlignment="1">
      <alignment horizontal="left" vertical="top"/>
    </xf>
    <xf numFmtId="0" fontId="34" fillId="5" borderId="0" xfId="0" applyFont="1" applyFill="1" applyAlignment="1">
      <alignment horizontal="right" vertical="top"/>
    </xf>
    <xf numFmtId="0" fontId="35" fillId="5" borderId="0" xfId="0" applyFont="1" applyFill="1" applyAlignment="1">
      <alignment horizontal="justify" vertical="top" wrapText="1"/>
    </xf>
    <xf numFmtId="0" fontId="35" fillId="5" borderId="0" xfId="0" applyFont="1" applyFill="1" applyAlignment="1">
      <alignment vertical="top" wrapText="1"/>
    </xf>
    <xf numFmtId="0" fontId="63" fillId="5" borderId="0" xfId="1" applyFont="1" applyFill="1" applyAlignment="1" applyProtection="1">
      <alignment horizontal="left" vertical="top"/>
    </xf>
    <xf numFmtId="0" fontId="61" fillId="5" borderId="0" xfId="1" applyFont="1" applyFill="1" applyAlignment="1" applyProtection="1">
      <alignment horizontal="left" vertical="center"/>
    </xf>
    <xf numFmtId="0" fontId="26" fillId="5" borderId="0" xfId="1" applyFill="1" applyProtection="1"/>
    <xf numFmtId="0" fontId="14" fillId="5" borderId="0" xfId="1" applyFont="1" applyFill="1" applyAlignment="1" applyProtection="1">
      <alignment horizontal="center" vertical="center"/>
    </xf>
    <xf numFmtId="0" fontId="62" fillId="5" borderId="0" xfId="0" applyFont="1" applyFill="1" applyAlignment="1">
      <alignment horizontal="right" vertical="center" indent="1"/>
    </xf>
    <xf numFmtId="1" fontId="0" fillId="5" borderId="0" xfId="0" applyNumberFormat="1" applyFill="1" applyAlignment="1">
      <alignment horizontal="right" vertical="top"/>
    </xf>
    <xf numFmtId="0" fontId="60" fillId="5" borderId="0" xfId="0" applyFont="1" applyFill="1" applyAlignment="1">
      <alignment horizontal="right" vertical="top" indent="1"/>
    </xf>
    <xf numFmtId="0" fontId="0" fillId="5" borderId="0" xfId="0" applyFill="1" applyAlignment="1">
      <alignment horizontal="justify" vertical="top" wrapText="1"/>
    </xf>
    <xf numFmtId="0" fontId="0" fillId="5" borderId="0" xfId="0" applyFill="1" applyAlignment="1">
      <alignment horizontal="left" vertical="center" indent="5"/>
    </xf>
    <xf numFmtId="0" fontId="0" fillId="5" borderId="0" xfId="0" applyFill="1" applyAlignment="1">
      <alignment horizontal="left" vertical="center" indent="4"/>
    </xf>
    <xf numFmtId="0" fontId="0" fillId="5" borderId="0" xfId="0" applyFill="1" applyAlignment="1">
      <alignment horizontal="justify" vertical="top"/>
    </xf>
    <xf numFmtId="0" fontId="14" fillId="5" borderId="0" xfId="1" applyFont="1" applyFill="1" applyAlignment="1" applyProtection="1">
      <alignment horizontal="justify" vertical="top" wrapText="1"/>
    </xf>
    <xf numFmtId="164" fontId="32" fillId="5" borderId="0" xfId="0" applyNumberFormat="1" applyFont="1" applyFill="1" applyAlignment="1">
      <alignment horizontal="right" vertical="center" wrapText="1" indent="1"/>
    </xf>
    <xf numFmtId="0" fontId="14" fillId="5" borderId="0" xfId="1" applyFont="1" applyFill="1" applyAlignment="1" applyProtection="1">
      <alignment horizontal="right" vertical="center" indent="1"/>
    </xf>
    <xf numFmtId="0" fontId="3" fillId="5" borderId="0" xfId="1" applyFont="1" applyFill="1" applyAlignment="1" applyProtection="1">
      <alignment horizontal="left" vertical="center" indent="1"/>
    </xf>
    <xf numFmtId="0" fontId="23" fillId="5" borderId="0" xfId="0" applyFont="1" applyFill="1" applyAlignment="1">
      <alignment horizontal="left"/>
    </xf>
    <xf numFmtId="0" fontId="34" fillId="5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0" fontId="23" fillId="0" borderId="0" xfId="0" applyFont="1" applyAlignment="1">
      <alignment horizontal="left"/>
    </xf>
    <xf numFmtId="0" fontId="37" fillId="5" borderId="0" xfId="1" applyFont="1" applyFill="1" applyAlignment="1" applyProtection="1">
      <alignment horizontal="left" vertical="center" indent="2"/>
    </xf>
    <xf numFmtId="0" fontId="34" fillId="5" borderId="0" xfId="0" applyFont="1" applyFill="1" applyAlignment="1">
      <alignment horizontal="left" vertical="center" indent="2"/>
    </xf>
    <xf numFmtId="0" fontId="66" fillId="5" borderId="0" xfId="1" applyFont="1" applyFill="1" applyAlignment="1" applyProtection="1">
      <alignment horizontal="left" vertical="center"/>
    </xf>
    <xf numFmtId="0" fontId="41" fillId="5" borderId="0" xfId="1" applyFont="1" applyFill="1" applyAlignment="1" applyProtection="1">
      <alignment horizontal="left" vertical="center"/>
    </xf>
    <xf numFmtId="0" fontId="3" fillId="5" borderId="0" xfId="1" applyFont="1" applyFill="1" applyAlignment="1" applyProtection="1">
      <alignment horizontal="left" indent="80"/>
    </xf>
    <xf numFmtId="0" fontId="3" fillId="5" borderId="0" xfId="1" applyFont="1" applyFill="1" applyAlignment="1" applyProtection="1">
      <alignment horizontal="left" indent="3"/>
    </xf>
    <xf numFmtId="0" fontId="62" fillId="5" borderId="0" xfId="0" applyFont="1" applyFill="1" applyAlignment="1">
      <alignment horizontal="right" vertical="top" indent="1"/>
    </xf>
    <xf numFmtId="0" fontId="30" fillId="5" borderId="0" xfId="0" applyFont="1" applyFill="1" applyAlignment="1">
      <alignment horizontal="right" vertical="center" indent="1"/>
    </xf>
    <xf numFmtId="0" fontId="37" fillId="5" borderId="0" xfId="1" applyFont="1" applyFill="1" applyAlignment="1" applyProtection="1">
      <alignment horizontal="left" vertical="center" indent="1"/>
      <protection locked="0"/>
    </xf>
    <xf numFmtId="0" fontId="37" fillId="5" borderId="47" xfId="1" applyFont="1" applyFill="1" applyBorder="1" applyAlignment="1" applyProtection="1">
      <alignment horizontal="left" vertical="center" indent="2"/>
    </xf>
    <xf numFmtId="0" fontId="41" fillId="5" borderId="47" xfId="1" applyFont="1" applyFill="1" applyBorder="1" applyAlignment="1" applyProtection="1">
      <alignment horizontal="left" vertical="center"/>
    </xf>
    <xf numFmtId="0" fontId="3" fillId="5" borderId="47" xfId="1" applyFont="1" applyFill="1" applyBorder="1" applyAlignment="1" applyProtection="1">
      <alignment horizontal="left" vertical="center" indent="1"/>
    </xf>
    <xf numFmtId="0" fontId="0" fillId="5" borderId="47" xfId="0" applyFill="1" applyBorder="1" applyAlignment="1">
      <alignment horizontal="right" vertical="center" indent="1"/>
    </xf>
    <xf numFmtId="0" fontId="0" fillId="5" borderId="0" xfId="0" applyFill="1" applyAlignment="1">
      <alignment horizontal="right" vertical="center" indent="1"/>
    </xf>
    <xf numFmtId="166" fontId="0" fillId="5" borderId="0" xfId="0" applyNumberFormat="1" applyFill="1" applyAlignment="1">
      <alignment horizontal="right" vertical="center" indent="1"/>
    </xf>
    <xf numFmtId="0" fontId="35" fillId="5" borderId="0" xfId="0" applyFont="1" applyFill="1" applyAlignment="1">
      <alignment horizontal="left" vertical="top" wrapText="1"/>
    </xf>
    <xf numFmtId="0" fontId="30" fillId="5" borderId="0" xfId="0" applyFont="1" applyFill="1" applyAlignment="1">
      <alignment horizontal="left" vertical="center" wrapText="1"/>
    </xf>
    <xf numFmtId="0" fontId="30" fillId="5" borderId="0" xfId="1" applyFont="1" applyFill="1" applyAlignment="1" applyProtection="1">
      <alignment horizontal="center" wrapText="1"/>
    </xf>
    <xf numFmtId="0" fontId="31" fillId="5" borderId="0" xfId="1" applyFont="1" applyFill="1" applyAlignment="1" applyProtection="1">
      <alignment horizontal="center" wrapText="1"/>
    </xf>
    <xf numFmtId="0" fontId="14" fillId="5" borderId="0" xfId="1" applyFont="1" applyFill="1" applyAlignment="1" applyProtection="1">
      <alignment horizontal="center" vertical="center"/>
    </xf>
    <xf numFmtId="0" fontId="14" fillId="5" borderId="0" xfId="1" applyFont="1" applyFill="1" applyAlignment="1" applyProtection="1">
      <alignment horizontal="justify" vertical="top" wrapText="1"/>
    </xf>
    <xf numFmtId="0" fontId="36" fillId="5" borderId="0" xfId="0" applyFont="1" applyFill="1" applyAlignment="1">
      <alignment horizontal="justify" vertical="top" wrapText="1"/>
    </xf>
    <xf numFmtId="0" fontId="14" fillId="5" borderId="0" xfId="1" applyFont="1" applyFill="1" applyAlignment="1" applyProtection="1">
      <alignment horizontal="center" vertical="top"/>
      <protection locked="0"/>
    </xf>
    <xf numFmtId="0" fontId="0" fillId="5" borderId="0" xfId="0" applyFill="1" applyAlignment="1">
      <alignment horizontal="justify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justify" vertical="top" wrapText="1"/>
    </xf>
    <xf numFmtId="0" fontId="35" fillId="5" borderId="0" xfId="0" applyFont="1" applyFill="1" applyAlignment="1">
      <alignment horizontal="left" vertical="top"/>
    </xf>
    <xf numFmtId="0" fontId="0" fillId="5" borderId="0" xfId="0" applyFill="1" applyAlignment="1">
      <alignment horizontal="justify"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3" borderId="27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inden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3" borderId="23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left" vertical="center" wrapText="1" indent="1"/>
    </xf>
    <xf numFmtId="0" fontId="2" fillId="3" borderId="29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 inden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top" wrapText="1"/>
    </xf>
    <xf numFmtId="0" fontId="5" fillId="3" borderId="28" xfId="0" applyFont="1" applyFill="1" applyBorder="1" applyAlignment="1">
      <alignment horizontal="center" vertical="top" wrapText="1"/>
    </xf>
    <xf numFmtId="0" fontId="0" fillId="0" borderId="32" xfId="0" applyBorder="1" applyAlignment="1">
      <alignment horizontal="left" vertical="center" wrapText="1" indent="1"/>
    </xf>
    <xf numFmtId="0" fontId="0" fillId="0" borderId="33" xfId="0" applyBorder="1" applyAlignment="1">
      <alignment horizontal="left" vertical="center" wrapText="1" inden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 wrapText="1" indent="1"/>
    </xf>
    <xf numFmtId="0" fontId="14" fillId="0" borderId="33" xfId="0" applyFont="1" applyBorder="1" applyAlignment="1">
      <alignment horizontal="left" vertical="center" wrapText="1" indent="1"/>
    </xf>
    <xf numFmtId="2" fontId="16" fillId="4" borderId="30" xfId="0" applyNumberFormat="1" applyFont="1" applyFill="1" applyBorder="1" applyAlignment="1">
      <alignment horizontal="center" vertical="center"/>
    </xf>
    <xf numFmtId="2" fontId="16" fillId="4" borderId="40" xfId="0" applyNumberFormat="1" applyFont="1" applyFill="1" applyBorder="1" applyAlignment="1">
      <alignment horizontal="center" vertical="center"/>
    </xf>
    <xf numFmtId="2" fontId="16" fillId="4" borderId="29" xfId="0" applyNumberFormat="1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 wrapText="1" indent="1"/>
    </xf>
    <xf numFmtId="0" fontId="2" fillId="0" borderId="46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wrapText="1" indent="1"/>
    </xf>
    <xf numFmtId="0" fontId="2" fillId="0" borderId="59" xfId="0" applyFont="1" applyBorder="1" applyAlignment="1">
      <alignment horizontal="left" vertical="center" wrapText="1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48" fillId="5" borderId="0" xfId="0" applyFont="1" applyFill="1" applyAlignment="1">
      <alignment horizontal="left" vertical="center" wrapText="1" indent="1"/>
    </xf>
    <xf numFmtId="0" fontId="48" fillId="5" borderId="0" xfId="0" applyFont="1" applyFill="1" applyAlignment="1">
      <alignment horizontal="left" vertical="center" indent="1"/>
    </xf>
    <xf numFmtId="0" fontId="0" fillId="5" borderId="47" xfId="0" applyFill="1" applyBorder="1" applyAlignment="1" applyProtection="1">
      <alignment horizontal="right" vertical="center" indent="1"/>
      <protection locked="0"/>
    </xf>
    <xf numFmtId="166" fontId="0" fillId="5" borderId="47" xfId="0" applyNumberFormat="1" applyFill="1" applyBorder="1" applyAlignment="1">
      <alignment horizontal="right" vertical="center" indent="1"/>
    </xf>
    <xf numFmtId="0" fontId="32" fillId="5" borderId="0" xfId="0" applyFont="1" applyFill="1" applyAlignment="1">
      <alignment horizontal="left" vertical="center" wrapText="1"/>
    </xf>
    <xf numFmtId="0" fontId="23" fillId="5" borderId="47" xfId="0" applyFont="1" applyFill="1" applyBorder="1" applyAlignment="1" applyProtection="1">
      <alignment horizontal="right" vertical="center" indent="1"/>
      <protection locked="0"/>
    </xf>
    <xf numFmtId="166" fontId="0" fillId="5" borderId="47" xfId="0" applyNumberFormat="1" applyFill="1" applyBorder="1" applyAlignment="1">
      <alignment horizontal="right" vertical="center"/>
    </xf>
    <xf numFmtId="0" fontId="32" fillId="5" borderId="0" xfId="0" applyFont="1" applyFill="1" applyAlignment="1">
      <alignment horizontal="left" vertical="center" wrapText="1" indent="1"/>
    </xf>
    <xf numFmtId="0" fontId="36" fillId="5" borderId="0" xfId="0" applyFont="1" applyFill="1" applyAlignment="1">
      <alignment horizontal="center" vertical="center"/>
    </xf>
    <xf numFmtId="0" fontId="48" fillId="5" borderId="0" xfId="0" applyFont="1" applyFill="1" applyAlignment="1">
      <alignment horizontal="right" vertical="center" inden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5" fillId="3" borderId="35" xfId="0" applyFont="1" applyFill="1" applyBorder="1" applyAlignment="1">
      <alignment horizontal="left" vertical="center" indent="1"/>
    </xf>
    <xf numFmtId="0" fontId="45" fillId="3" borderId="1" xfId="0" applyFont="1" applyFill="1" applyBorder="1" applyAlignment="1">
      <alignment horizontal="left" vertical="center" indent="1"/>
    </xf>
    <xf numFmtId="0" fontId="52" fillId="4" borderId="0" xfId="0" applyFont="1" applyFill="1" applyAlignment="1">
      <alignment horizontal="left" vertical="center" wrapText="1" indent="1"/>
    </xf>
    <xf numFmtId="0" fontId="59" fillId="3" borderId="39" xfId="0" applyFont="1" applyFill="1" applyBorder="1" applyAlignment="1" applyProtection="1">
      <alignment horizontal="left" vertical="center"/>
      <protection locked="0"/>
    </xf>
    <xf numFmtId="164" fontId="34" fillId="5" borderId="0" xfId="0" applyNumberFormat="1" applyFont="1" applyFill="1" applyAlignment="1">
      <alignment horizontal="right" wrapText="1" indent="1"/>
    </xf>
    <xf numFmtId="164" fontId="30" fillId="5" borderId="0" xfId="0" applyNumberFormat="1" applyFont="1" applyFill="1" applyAlignment="1">
      <alignment horizontal="right" wrapText="1" indent="1"/>
    </xf>
    <xf numFmtId="164" fontId="36" fillId="5" borderId="0" xfId="0" applyNumberFormat="1" applyFont="1" applyFill="1" applyAlignment="1">
      <alignment horizontal="left" vertical="center" wrapText="1" indent="1"/>
    </xf>
    <xf numFmtId="164" fontId="34" fillId="5" borderId="0" xfId="0" applyNumberFormat="1" applyFont="1" applyFill="1" applyAlignment="1">
      <alignment horizontal="right" vertical="center" wrapText="1" indent="1"/>
    </xf>
    <xf numFmtId="0" fontId="45" fillId="3" borderId="14" xfId="0" applyFont="1" applyFill="1" applyBorder="1" applyAlignment="1">
      <alignment horizontal="left" vertical="center" indent="1"/>
    </xf>
    <xf numFmtId="0" fontId="45" fillId="3" borderId="39" xfId="0" applyFont="1" applyFill="1" applyBorder="1" applyAlignment="1">
      <alignment horizontal="left" vertical="center" indent="1"/>
    </xf>
    <xf numFmtId="0" fontId="45" fillId="3" borderId="16" xfId="0" applyFont="1" applyFill="1" applyBorder="1" applyAlignment="1">
      <alignment horizontal="left" vertical="center" indent="1"/>
    </xf>
    <xf numFmtId="0" fontId="45" fillId="3" borderId="19" xfId="0" applyFont="1" applyFill="1" applyBorder="1" applyAlignment="1">
      <alignment horizontal="left" vertical="center" indent="1"/>
    </xf>
    <xf numFmtId="0" fontId="45" fillId="3" borderId="47" xfId="0" applyFont="1" applyFill="1" applyBorder="1" applyAlignment="1">
      <alignment horizontal="left" vertical="center" indent="1"/>
    </xf>
    <xf numFmtId="0" fontId="45" fillId="3" borderId="20" xfId="0" applyFont="1" applyFill="1" applyBorder="1" applyAlignment="1">
      <alignment horizontal="left" vertical="center" indent="1"/>
    </xf>
  </cellXfs>
  <cellStyles count="2">
    <cellStyle name="Hiperligação" xfId="1" builtinId="8"/>
    <cellStyle name="Normal" xfId="0" builtinId="0"/>
  </cellStyles>
  <dxfs count="47">
    <dxf>
      <fill>
        <patternFill>
          <bgColor theme="0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ill>
        <patternFill>
          <bgColor theme="0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ill>
        <patternFill>
          <bgColor theme="0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ill>
        <patternFill>
          <bgColor theme="0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dashed">
          <color theme="5"/>
        </left>
        <right style="dashed">
          <color theme="5"/>
        </right>
        <top style="dashed">
          <color theme="5"/>
        </top>
        <bottom style="dashed">
          <color theme="5"/>
        </bottom>
        <vertical/>
        <horizontal/>
      </border>
    </dxf>
    <dxf>
      <fill>
        <patternFill>
          <bgColor theme="0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 patternType="solid">
          <fgColor theme="0"/>
          <bgColor theme="0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ill>
        <patternFill patternType="none">
          <fgColor indexed="64"/>
          <bgColor auto="1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dashed">
          <color theme="5"/>
        </left>
        <right style="dashed">
          <color theme="5"/>
        </right>
        <top style="dashed">
          <color theme="5"/>
        </top>
        <bottom style="dashed">
          <color theme="5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auto="1"/>
          <bgColor theme="0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 patternType="solid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dashed">
          <color theme="5"/>
        </left>
        <right style="dashed">
          <color theme="5"/>
        </right>
        <top style="dashed">
          <color theme="5"/>
        </top>
        <bottom style="dashed">
          <color theme="5"/>
        </bottom>
        <vertical/>
        <horizontal/>
      </border>
    </dxf>
    <dxf>
      <fill>
        <patternFill patternType="solid">
          <fgColor theme="0"/>
          <bgColor theme="0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ill>
        <patternFill patternType="solid">
          <fgColor theme="0"/>
          <bgColor theme="0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2</xdr:col>
      <xdr:colOff>1476173</xdr:colOff>
      <xdr:row>6</xdr:row>
      <xdr:rowOff>48125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5F173E-1A68-4400-B5AF-07A95595F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8750"/>
          <a:ext cx="2076248" cy="1086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2</xdr:col>
      <xdr:colOff>1619048</xdr:colOff>
      <xdr:row>6</xdr:row>
      <xdr:rowOff>48125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EF22A82-AD23-9587-9B06-FD253E89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085773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2</xdr:col>
      <xdr:colOff>1617778</xdr:colOff>
      <xdr:row>6</xdr:row>
      <xdr:rowOff>47490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2A2C79-C21F-4E20-ABC3-26CFD508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830"/>
          <a:ext cx="2085773" cy="107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2</xdr:col>
      <xdr:colOff>1619048</xdr:colOff>
      <xdr:row>6</xdr:row>
      <xdr:rowOff>48125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FCFC20-902B-4138-BDFC-5A706FB55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50"/>
          <a:ext cx="2085773" cy="1089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158750</xdr:rowOff>
    </xdr:from>
    <xdr:to>
      <xdr:col>2</xdr:col>
      <xdr:colOff>1629208</xdr:colOff>
      <xdr:row>6</xdr:row>
      <xdr:rowOff>48125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513C0A-4A04-4848-9CBF-57B5DCD1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50"/>
          <a:ext cx="2092758" cy="1086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158750</xdr:rowOff>
    </xdr:from>
    <xdr:to>
      <xdr:col>2</xdr:col>
      <xdr:colOff>1620953</xdr:colOff>
      <xdr:row>6</xdr:row>
      <xdr:rowOff>47490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D96CFA-0599-47C4-84FF-B5F7C9945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50"/>
          <a:ext cx="2087678" cy="1088890"/>
        </a:xfrm>
        <a:prstGeom prst="rect">
          <a:avLst/>
        </a:prstGeom>
      </xdr:spPr>
    </xdr:pic>
    <xdr:clientData/>
  </xdr:twoCellAnchor>
  <xdr:twoCellAnchor>
    <xdr:from>
      <xdr:col>3</xdr:col>
      <xdr:colOff>9486</xdr:colOff>
      <xdr:row>14</xdr:row>
      <xdr:rowOff>206375</xdr:rowOff>
    </xdr:from>
    <xdr:to>
      <xdr:col>7</xdr:col>
      <xdr:colOff>1028061</xdr:colOff>
      <xdr:row>14</xdr:row>
      <xdr:rowOff>206375</xdr:rowOff>
    </xdr:to>
    <xdr:cxnSp macro="">
      <xdr:nvCxnSpPr>
        <xdr:cNvPr id="5" name="Conexão reta 4">
          <a:extLst>
            <a:ext uri="{FF2B5EF4-FFF2-40B4-BE49-F238E27FC236}">
              <a16:creationId xmlns:a16="http://schemas.microsoft.com/office/drawing/2014/main" id="{34033E3A-BF6A-0E32-9F9B-BFE1201FC3FA}"/>
            </a:ext>
          </a:extLst>
        </xdr:cNvPr>
        <xdr:cNvCxnSpPr/>
      </xdr:nvCxnSpPr>
      <xdr:spPr>
        <a:xfrm>
          <a:off x="2324061" y="33591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28536</xdr:colOff>
      <xdr:row>36</xdr:row>
      <xdr:rowOff>206375</xdr:rowOff>
    </xdr:from>
    <xdr:to>
      <xdr:col>8</xdr:col>
      <xdr:colOff>8886</xdr:colOff>
      <xdr:row>36</xdr:row>
      <xdr:rowOff>206375</xdr:rowOff>
    </xdr:to>
    <xdr:cxnSp macro="">
      <xdr:nvCxnSpPr>
        <xdr:cNvPr id="6" name="Conexão reta 5">
          <a:extLst>
            <a:ext uri="{FF2B5EF4-FFF2-40B4-BE49-F238E27FC236}">
              <a16:creationId xmlns:a16="http://schemas.microsoft.com/office/drawing/2014/main" id="{D5821089-BF11-4DEF-907E-706344EBF1A0}"/>
            </a:ext>
          </a:extLst>
        </xdr:cNvPr>
        <xdr:cNvCxnSpPr/>
      </xdr:nvCxnSpPr>
      <xdr:spPr>
        <a:xfrm>
          <a:off x="2447886" y="929322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28536</xdr:colOff>
      <xdr:row>36</xdr:row>
      <xdr:rowOff>206375</xdr:rowOff>
    </xdr:from>
    <xdr:to>
      <xdr:col>8</xdr:col>
      <xdr:colOff>8886</xdr:colOff>
      <xdr:row>36</xdr:row>
      <xdr:rowOff>206375</xdr:rowOff>
    </xdr:to>
    <xdr:cxnSp macro="">
      <xdr:nvCxnSpPr>
        <xdr:cNvPr id="7" name="Conexão reta 6">
          <a:extLst>
            <a:ext uri="{FF2B5EF4-FFF2-40B4-BE49-F238E27FC236}">
              <a16:creationId xmlns:a16="http://schemas.microsoft.com/office/drawing/2014/main" id="{E8C67FAB-7A08-4363-A942-C89C6AC1ADE7}"/>
            </a:ext>
          </a:extLst>
        </xdr:cNvPr>
        <xdr:cNvCxnSpPr/>
      </xdr:nvCxnSpPr>
      <xdr:spPr>
        <a:xfrm>
          <a:off x="2451061" y="312102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28536</xdr:colOff>
      <xdr:row>58</xdr:row>
      <xdr:rowOff>206375</xdr:rowOff>
    </xdr:from>
    <xdr:to>
      <xdr:col>8</xdr:col>
      <xdr:colOff>8886</xdr:colOff>
      <xdr:row>58</xdr:row>
      <xdr:rowOff>206375</xdr:rowOff>
    </xdr:to>
    <xdr:cxnSp macro="">
      <xdr:nvCxnSpPr>
        <xdr:cNvPr id="8" name="Conexão reta 7">
          <a:extLst>
            <a:ext uri="{FF2B5EF4-FFF2-40B4-BE49-F238E27FC236}">
              <a16:creationId xmlns:a16="http://schemas.microsoft.com/office/drawing/2014/main" id="{4B761B6F-D81D-45EC-BE7E-7751B6169A16}"/>
            </a:ext>
          </a:extLst>
        </xdr:cNvPr>
        <xdr:cNvCxnSpPr/>
      </xdr:nvCxnSpPr>
      <xdr:spPr>
        <a:xfrm>
          <a:off x="2451061" y="929322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28536</xdr:colOff>
      <xdr:row>58</xdr:row>
      <xdr:rowOff>206375</xdr:rowOff>
    </xdr:from>
    <xdr:to>
      <xdr:col>8</xdr:col>
      <xdr:colOff>8886</xdr:colOff>
      <xdr:row>58</xdr:row>
      <xdr:rowOff>206375</xdr:rowOff>
    </xdr:to>
    <xdr:cxnSp macro="">
      <xdr:nvCxnSpPr>
        <xdr:cNvPr id="9" name="Conexão reta 8">
          <a:extLst>
            <a:ext uri="{FF2B5EF4-FFF2-40B4-BE49-F238E27FC236}">
              <a16:creationId xmlns:a16="http://schemas.microsoft.com/office/drawing/2014/main" id="{78843FFF-EFBA-4AAE-A1FA-9568B57200CA}"/>
            </a:ext>
          </a:extLst>
        </xdr:cNvPr>
        <xdr:cNvCxnSpPr/>
      </xdr:nvCxnSpPr>
      <xdr:spPr>
        <a:xfrm>
          <a:off x="2451061" y="929322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28536</xdr:colOff>
      <xdr:row>80</xdr:row>
      <xdr:rowOff>206375</xdr:rowOff>
    </xdr:from>
    <xdr:to>
      <xdr:col>8</xdr:col>
      <xdr:colOff>8886</xdr:colOff>
      <xdr:row>80</xdr:row>
      <xdr:rowOff>206375</xdr:rowOff>
    </xdr:to>
    <xdr:cxnSp macro="">
      <xdr:nvCxnSpPr>
        <xdr:cNvPr id="10" name="Conexão reta 9">
          <a:extLst>
            <a:ext uri="{FF2B5EF4-FFF2-40B4-BE49-F238E27FC236}">
              <a16:creationId xmlns:a16="http://schemas.microsoft.com/office/drawing/2014/main" id="{4BEB5053-2DBA-4D97-A096-22807AEC641B}"/>
            </a:ext>
          </a:extLst>
        </xdr:cNvPr>
        <xdr:cNvCxnSpPr/>
      </xdr:nvCxnSpPr>
      <xdr:spPr>
        <a:xfrm>
          <a:off x="2451061" y="1546542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28536</xdr:colOff>
      <xdr:row>80</xdr:row>
      <xdr:rowOff>206375</xdr:rowOff>
    </xdr:from>
    <xdr:to>
      <xdr:col>8</xdr:col>
      <xdr:colOff>8886</xdr:colOff>
      <xdr:row>80</xdr:row>
      <xdr:rowOff>206375</xdr:rowOff>
    </xdr:to>
    <xdr:cxnSp macro="">
      <xdr:nvCxnSpPr>
        <xdr:cNvPr id="11" name="Conexão reta 10">
          <a:extLst>
            <a:ext uri="{FF2B5EF4-FFF2-40B4-BE49-F238E27FC236}">
              <a16:creationId xmlns:a16="http://schemas.microsoft.com/office/drawing/2014/main" id="{3B930EF9-2C42-458C-8B47-701ADA880B00}"/>
            </a:ext>
          </a:extLst>
        </xdr:cNvPr>
        <xdr:cNvCxnSpPr/>
      </xdr:nvCxnSpPr>
      <xdr:spPr>
        <a:xfrm>
          <a:off x="2451061" y="1546542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36</xdr:row>
      <xdr:rowOff>206375</xdr:rowOff>
    </xdr:from>
    <xdr:to>
      <xdr:col>7</xdr:col>
      <xdr:colOff>1028061</xdr:colOff>
      <xdr:row>36</xdr:row>
      <xdr:rowOff>206375</xdr:rowOff>
    </xdr:to>
    <xdr:cxnSp macro="">
      <xdr:nvCxnSpPr>
        <xdr:cNvPr id="3" name="Conexão reta 2">
          <a:extLst>
            <a:ext uri="{FF2B5EF4-FFF2-40B4-BE49-F238E27FC236}">
              <a16:creationId xmlns:a16="http://schemas.microsoft.com/office/drawing/2014/main" id="{AA691AF6-2523-4C2F-B02E-E8264814FC2C}"/>
            </a:ext>
          </a:extLst>
        </xdr:cNvPr>
        <xdr:cNvCxnSpPr/>
      </xdr:nvCxnSpPr>
      <xdr:spPr>
        <a:xfrm>
          <a:off x="2324061" y="33591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58</xdr:row>
      <xdr:rowOff>206375</xdr:rowOff>
    </xdr:from>
    <xdr:to>
      <xdr:col>7</xdr:col>
      <xdr:colOff>1028061</xdr:colOff>
      <xdr:row>58</xdr:row>
      <xdr:rowOff>206375</xdr:rowOff>
    </xdr:to>
    <xdr:cxnSp macro="">
      <xdr:nvCxnSpPr>
        <xdr:cNvPr id="4" name="Conexão reta 3">
          <a:extLst>
            <a:ext uri="{FF2B5EF4-FFF2-40B4-BE49-F238E27FC236}">
              <a16:creationId xmlns:a16="http://schemas.microsoft.com/office/drawing/2014/main" id="{DF708460-AE05-49FD-9FBD-16D204A9BBDC}"/>
            </a:ext>
          </a:extLst>
        </xdr:cNvPr>
        <xdr:cNvCxnSpPr/>
      </xdr:nvCxnSpPr>
      <xdr:spPr>
        <a:xfrm>
          <a:off x="2324061" y="33591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80</xdr:row>
      <xdr:rowOff>206375</xdr:rowOff>
    </xdr:from>
    <xdr:to>
      <xdr:col>7</xdr:col>
      <xdr:colOff>1028061</xdr:colOff>
      <xdr:row>80</xdr:row>
      <xdr:rowOff>206375</xdr:rowOff>
    </xdr:to>
    <xdr:cxnSp macro="">
      <xdr:nvCxnSpPr>
        <xdr:cNvPr id="12" name="Conexão reta 11">
          <a:extLst>
            <a:ext uri="{FF2B5EF4-FFF2-40B4-BE49-F238E27FC236}">
              <a16:creationId xmlns:a16="http://schemas.microsoft.com/office/drawing/2014/main" id="{A619B5DA-DD23-40B6-B34A-8FA82741EE4D}"/>
            </a:ext>
          </a:extLst>
        </xdr:cNvPr>
        <xdr:cNvCxnSpPr/>
      </xdr:nvCxnSpPr>
      <xdr:spPr>
        <a:xfrm>
          <a:off x="2324061" y="33591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158750</xdr:rowOff>
    </xdr:from>
    <xdr:to>
      <xdr:col>2</xdr:col>
      <xdr:colOff>1620953</xdr:colOff>
      <xdr:row>6</xdr:row>
      <xdr:rowOff>47490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017985-3999-44B4-B98F-3EFD7F6A3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087678" cy="108571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209550</xdr:rowOff>
    </xdr:from>
    <xdr:to>
      <xdr:col>7</xdr:col>
      <xdr:colOff>1066200</xdr:colOff>
      <xdr:row>14</xdr:row>
      <xdr:rowOff>209550</xdr:rowOff>
    </xdr:to>
    <xdr:cxnSp macro="">
      <xdr:nvCxnSpPr>
        <xdr:cNvPr id="4" name="Conexão reta 3">
          <a:extLst>
            <a:ext uri="{FF2B5EF4-FFF2-40B4-BE49-F238E27FC236}">
              <a16:creationId xmlns:a16="http://schemas.microsoft.com/office/drawing/2014/main" id="{283FABB8-2298-497E-A839-B246346A8952}"/>
            </a:ext>
          </a:extLst>
        </xdr:cNvPr>
        <xdr:cNvCxnSpPr/>
      </xdr:nvCxnSpPr>
      <xdr:spPr>
        <a:xfrm>
          <a:off x="2419350" y="3124200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209550</xdr:rowOff>
    </xdr:from>
    <xdr:to>
      <xdr:col>7</xdr:col>
      <xdr:colOff>1066200</xdr:colOff>
      <xdr:row>36</xdr:row>
      <xdr:rowOff>209550</xdr:rowOff>
    </xdr:to>
    <xdr:cxnSp macro="">
      <xdr:nvCxnSpPr>
        <xdr:cNvPr id="5" name="Conexão reta 4">
          <a:extLst>
            <a:ext uri="{FF2B5EF4-FFF2-40B4-BE49-F238E27FC236}">
              <a16:creationId xmlns:a16="http://schemas.microsoft.com/office/drawing/2014/main" id="{1E05FB7D-B351-4B56-9AC5-F95BBAAB329D}"/>
            </a:ext>
          </a:extLst>
        </xdr:cNvPr>
        <xdr:cNvCxnSpPr/>
      </xdr:nvCxnSpPr>
      <xdr:spPr>
        <a:xfrm>
          <a:off x="2419350" y="8782050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209550</xdr:rowOff>
    </xdr:from>
    <xdr:to>
      <xdr:col>7</xdr:col>
      <xdr:colOff>1066200</xdr:colOff>
      <xdr:row>58</xdr:row>
      <xdr:rowOff>209550</xdr:rowOff>
    </xdr:to>
    <xdr:cxnSp macro="">
      <xdr:nvCxnSpPr>
        <xdr:cNvPr id="6" name="Conexão reta 5">
          <a:extLst>
            <a:ext uri="{FF2B5EF4-FFF2-40B4-BE49-F238E27FC236}">
              <a16:creationId xmlns:a16="http://schemas.microsoft.com/office/drawing/2014/main" id="{2BEEAA0C-5E59-479F-9952-1F5C721E25DC}"/>
            </a:ext>
          </a:extLst>
        </xdr:cNvPr>
        <xdr:cNvCxnSpPr/>
      </xdr:nvCxnSpPr>
      <xdr:spPr>
        <a:xfrm>
          <a:off x="2419350" y="14439900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80</xdr:row>
      <xdr:rowOff>209550</xdr:rowOff>
    </xdr:from>
    <xdr:to>
      <xdr:col>7</xdr:col>
      <xdr:colOff>1066200</xdr:colOff>
      <xdr:row>80</xdr:row>
      <xdr:rowOff>209550</xdr:rowOff>
    </xdr:to>
    <xdr:cxnSp macro="">
      <xdr:nvCxnSpPr>
        <xdr:cNvPr id="7" name="Conexão reta 6">
          <a:extLst>
            <a:ext uri="{FF2B5EF4-FFF2-40B4-BE49-F238E27FC236}">
              <a16:creationId xmlns:a16="http://schemas.microsoft.com/office/drawing/2014/main" id="{271C9794-A372-460D-9B8E-F94C510973DF}"/>
            </a:ext>
          </a:extLst>
        </xdr:cNvPr>
        <xdr:cNvCxnSpPr/>
      </xdr:nvCxnSpPr>
      <xdr:spPr>
        <a:xfrm>
          <a:off x="2419350" y="20097750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14</xdr:row>
      <xdr:rowOff>206375</xdr:rowOff>
    </xdr:from>
    <xdr:to>
      <xdr:col>7</xdr:col>
      <xdr:colOff>1028061</xdr:colOff>
      <xdr:row>14</xdr:row>
      <xdr:rowOff>206375</xdr:rowOff>
    </xdr:to>
    <xdr:cxnSp macro="">
      <xdr:nvCxnSpPr>
        <xdr:cNvPr id="3" name="Conexão reta 2">
          <a:extLst>
            <a:ext uri="{FF2B5EF4-FFF2-40B4-BE49-F238E27FC236}">
              <a16:creationId xmlns:a16="http://schemas.microsoft.com/office/drawing/2014/main" id="{4F6FD2B0-FD50-42BD-8397-769005B4A7A7}"/>
            </a:ext>
          </a:extLst>
        </xdr:cNvPr>
        <xdr:cNvCxnSpPr/>
      </xdr:nvCxnSpPr>
      <xdr:spPr>
        <a:xfrm>
          <a:off x="2324061" y="33591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36</xdr:row>
      <xdr:rowOff>206375</xdr:rowOff>
    </xdr:from>
    <xdr:to>
      <xdr:col>7</xdr:col>
      <xdr:colOff>1028061</xdr:colOff>
      <xdr:row>36</xdr:row>
      <xdr:rowOff>206375</xdr:rowOff>
    </xdr:to>
    <xdr:cxnSp macro="">
      <xdr:nvCxnSpPr>
        <xdr:cNvPr id="8" name="Conexão reta 7">
          <a:extLst>
            <a:ext uri="{FF2B5EF4-FFF2-40B4-BE49-F238E27FC236}">
              <a16:creationId xmlns:a16="http://schemas.microsoft.com/office/drawing/2014/main" id="{F86CACD8-26D7-4CF2-B520-32DAC1B070C1}"/>
            </a:ext>
          </a:extLst>
        </xdr:cNvPr>
        <xdr:cNvCxnSpPr/>
      </xdr:nvCxnSpPr>
      <xdr:spPr>
        <a:xfrm>
          <a:off x="2324061" y="33591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58</xdr:row>
      <xdr:rowOff>206375</xdr:rowOff>
    </xdr:from>
    <xdr:to>
      <xdr:col>7</xdr:col>
      <xdr:colOff>1028061</xdr:colOff>
      <xdr:row>58</xdr:row>
      <xdr:rowOff>206375</xdr:rowOff>
    </xdr:to>
    <xdr:cxnSp macro="">
      <xdr:nvCxnSpPr>
        <xdr:cNvPr id="9" name="Conexão reta 8">
          <a:extLst>
            <a:ext uri="{FF2B5EF4-FFF2-40B4-BE49-F238E27FC236}">
              <a16:creationId xmlns:a16="http://schemas.microsoft.com/office/drawing/2014/main" id="{9B5581C6-F4B0-4E16-BBF7-63D69F55B3B7}"/>
            </a:ext>
          </a:extLst>
        </xdr:cNvPr>
        <xdr:cNvCxnSpPr/>
      </xdr:nvCxnSpPr>
      <xdr:spPr>
        <a:xfrm>
          <a:off x="2324061" y="33591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80</xdr:row>
      <xdr:rowOff>206375</xdr:rowOff>
    </xdr:from>
    <xdr:to>
      <xdr:col>7</xdr:col>
      <xdr:colOff>1028061</xdr:colOff>
      <xdr:row>80</xdr:row>
      <xdr:rowOff>206375</xdr:rowOff>
    </xdr:to>
    <xdr:cxnSp macro="">
      <xdr:nvCxnSpPr>
        <xdr:cNvPr id="10" name="Conexão reta 9">
          <a:extLst>
            <a:ext uri="{FF2B5EF4-FFF2-40B4-BE49-F238E27FC236}">
              <a16:creationId xmlns:a16="http://schemas.microsoft.com/office/drawing/2014/main" id="{9CFB31CB-871C-4F86-A5A1-D0FDC934ECEA}"/>
            </a:ext>
          </a:extLst>
        </xdr:cNvPr>
        <xdr:cNvCxnSpPr/>
      </xdr:nvCxnSpPr>
      <xdr:spPr>
        <a:xfrm>
          <a:off x="2324061" y="33591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158750</xdr:rowOff>
    </xdr:from>
    <xdr:to>
      <xdr:col>2</xdr:col>
      <xdr:colOff>1640003</xdr:colOff>
      <xdr:row>6</xdr:row>
      <xdr:rowOff>50665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D5920D-AB29-49BA-854A-5BDDBECE0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087678" cy="108889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206375</xdr:rowOff>
    </xdr:from>
    <xdr:to>
      <xdr:col>7</xdr:col>
      <xdr:colOff>1066200</xdr:colOff>
      <xdr:row>14</xdr:row>
      <xdr:rowOff>206375</xdr:rowOff>
    </xdr:to>
    <xdr:cxnSp macro="">
      <xdr:nvCxnSpPr>
        <xdr:cNvPr id="3" name="Conexão reta 2">
          <a:extLst>
            <a:ext uri="{FF2B5EF4-FFF2-40B4-BE49-F238E27FC236}">
              <a16:creationId xmlns:a16="http://schemas.microsoft.com/office/drawing/2014/main" id="{EFCE332C-1ECC-4930-A783-A36261033D3D}"/>
            </a:ext>
          </a:extLst>
        </xdr:cNvPr>
        <xdr:cNvCxnSpPr/>
      </xdr:nvCxnSpPr>
      <xdr:spPr>
        <a:xfrm>
          <a:off x="2409825" y="312102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206375</xdr:rowOff>
    </xdr:from>
    <xdr:to>
      <xdr:col>7</xdr:col>
      <xdr:colOff>1066200</xdr:colOff>
      <xdr:row>36</xdr:row>
      <xdr:rowOff>206375</xdr:rowOff>
    </xdr:to>
    <xdr:cxnSp macro="">
      <xdr:nvCxnSpPr>
        <xdr:cNvPr id="4" name="Conexão reta 3">
          <a:extLst>
            <a:ext uri="{FF2B5EF4-FFF2-40B4-BE49-F238E27FC236}">
              <a16:creationId xmlns:a16="http://schemas.microsoft.com/office/drawing/2014/main" id="{AB021DEC-3630-42A4-BFCA-F7830BE5C270}"/>
            </a:ext>
          </a:extLst>
        </xdr:cNvPr>
        <xdr:cNvCxnSpPr/>
      </xdr:nvCxnSpPr>
      <xdr:spPr>
        <a:xfrm>
          <a:off x="2409825" y="877887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206375</xdr:rowOff>
    </xdr:from>
    <xdr:to>
      <xdr:col>7</xdr:col>
      <xdr:colOff>1066200</xdr:colOff>
      <xdr:row>58</xdr:row>
      <xdr:rowOff>206375</xdr:rowOff>
    </xdr:to>
    <xdr:cxnSp macro="">
      <xdr:nvCxnSpPr>
        <xdr:cNvPr id="5" name="Conexão reta 4">
          <a:extLst>
            <a:ext uri="{FF2B5EF4-FFF2-40B4-BE49-F238E27FC236}">
              <a16:creationId xmlns:a16="http://schemas.microsoft.com/office/drawing/2014/main" id="{8BF12AC9-68A5-4081-BC95-E7F652E209DB}"/>
            </a:ext>
          </a:extLst>
        </xdr:cNvPr>
        <xdr:cNvCxnSpPr/>
      </xdr:nvCxnSpPr>
      <xdr:spPr>
        <a:xfrm>
          <a:off x="2409825" y="1443672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80</xdr:row>
      <xdr:rowOff>206375</xdr:rowOff>
    </xdr:from>
    <xdr:to>
      <xdr:col>7</xdr:col>
      <xdr:colOff>1066200</xdr:colOff>
      <xdr:row>80</xdr:row>
      <xdr:rowOff>206375</xdr:rowOff>
    </xdr:to>
    <xdr:cxnSp macro="">
      <xdr:nvCxnSpPr>
        <xdr:cNvPr id="6" name="Conexão reta 5">
          <a:extLst>
            <a:ext uri="{FF2B5EF4-FFF2-40B4-BE49-F238E27FC236}">
              <a16:creationId xmlns:a16="http://schemas.microsoft.com/office/drawing/2014/main" id="{2737B8FD-5C66-4313-8BEA-31A5C8EE3C84}"/>
            </a:ext>
          </a:extLst>
        </xdr:cNvPr>
        <xdr:cNvCxnSpPr/>
      </xdr:nvCxnSpPr>
      <xdr:spPr>
        <a:xfrm>
          <a:off x="2409825" y="20094575"/>
          <a:ext cx="78480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209550</xdr:rowOff>
    </xdr:from>
    <xdr:to>
      <xdr:col>7</xdr:col>
      <xdr:colOff>1066200</xdr:colOff>
      <xdr:row>14</xdr:row>
      <xdr:rowOff>209550</xdr:rowOff>
    </xdr:to>
    <xdr:cxnSp macro="">
      <xdr:nvCxnSpPr>
        <xdr:cNvPr id="7" name="Conexão reta 6">
          <a:extLst>
            <a:ext uri="{FF2B5EF4-FFF2-40B4-BE49-F238E27FC236}">
              <a16:creationId xmlns:a16="http://schemas.microsoft.com/office/drawing/2014/main" id="{07004FAC-5D43-444E-B632-573103F68BAE}"/>
            </a:ext>
          </a:extLst>
        </xdr:cNvPr>
        <xdr:cNvCxnSpPr/>
      </xdr:nvCxnSpPr>
      <xdr:spPr>
        <a:xfrm>
          <a:off x="2314575" y="19707225"/>
          <a:ext cx="752415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14</xdr:row>
      <xdr:rowOff>206375</xdr:rowOff>
    </xdr:from>
    <xdr:to>
      <xdr:col>7</xdr:col>
      <xdr:colOff>1028061</xdr:colOff>
      <xdr:row>14</xdr:row>
      <xdr:rowOff>206375</xdr:rowOff>
    </xdr:to>
    <xdr:cxnSp macro="">
      <xdr:nvCxnSpPr>
        <xdr:cNvPr id="8" name="Conexão reta 7">
          <a:extLst>
            <a:ext uri="{FF2B5EF4-FFF2-40B4-BE49-F238E27FC236}">
              <a16:creationId xmlns:a16="http://schemas.microsoft.com/office/drawing/2014/main" id="{03A940F6-C474-4F2B-BC6E-FFC1B6B9981E}"/>
            </a:ext>
          </a:extLst>
        </xdr:cNvPr>
        <xdr:cNvCxnSpPr/>
      </xdr:nvCxnSpPr>
      <xdr:spPr>
        <a:xfrm>
          <a:off x="2324061" y="197040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209550</xdr:rowOff>
    </xdr:from>
    <xdr:to>
      <xdr:col>7</xdr:col>
      <xdr:colOff>1066200</xdr:colOff>
      <xdr:row>36</xdr:row>
      <xdr:rowOff>209550</xdr:rowOff>
    </xdr:to>
    <xdr:cxnSp macro="">
      <xdr:nvCxnSpPr>
        <xdr:cNvPr id="9" name="Conexão reta 8">
          <a:extLst>
            <a:ext uri="{FF2B5EF4-FFF2-40B4-BE49-F238E27FC236}">
              <a16:creationId xmlns:a16="http://schemas.microsoft.com/office/drawing/2014/main" id="{0F983D85-D6A7-460E-B0AE-AF3963AEFC70}"/>
            </a:ext>
          </a:extLst>
        </xdr:cNvPr>
        <xdr:cNvCxnSpPr/>
      </xdr:nvCxnSpPr>
      <xdr:spPr>
        <a:xfrm>
          <a:off x="2314575" y="19707225"/>
          <a:ext cx="752415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36</xdr:row>
      <xdr:rowOff>206375</xdr:rowOff>
    </xdr:from>
    <xdr:to>
      <xdr:col>7</xdr:col>
      <xdr:colOff>1028061</xdr:colOff>
      <xdr:row>36</xdr:row>
      <xdr:rowOff>206375</xdr:rowOff>
    </xdr:to>
    <xdr:cxnSp macro="">
      <xdr:nvCxnSpPr>
        <xdr:cNvPr id="10" name="Conexão reta 9">
          <a:extLst>
            <a:ext uri="{FF2B5EF4-FFF2-40B4-BE49-F238E27FC236}">
              <a16:creationId xmlns:a16="http://schemas.microsoft.com/office/drawing/2014/main" id="{AC4D89B9-9A86-494B-827A-9470F998009F}"/>
            </a:ext>
          </a:extLst>
        </xdr:cNvPr>
        <xdr:cNvCxnSpPr/>
      </xdr:nvCxnSpPr>
      <xdr:spPr>
        <a:xfrm>
          <a:off x="2324061" y="197040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209550</xdr:rowOff>
    </xdr:from>
    <xdr:to>
      <xdr:col>7</xdr:col>
      <xdr:colOff>1066200</xdr:colOff>
      <xdr:row>58</xdr:row>
      <xdr:rowOff>209550</xdr:rowOff>
    </xdr:to>
    <xdr:cxnSp macro="">
      <xdr:nvCxnSpPr>
        <xdr:cNvPr id="11" name="Conexão reta 10">
          <a:extLst>
            <a:ext uri="{FF2B5EF4-FFF2-40B4-BE49-F238E27FC236}">
              <a16:creationId xmlns:a16="http://schemas.microsoft.com/office/drawing/2014/main" id="{AC00B131-EF76-4902-9BFE-0AB10F964150}"/>
            </a:ext>
          </a:extLst>
        </xdr:cNvPr>
        <xdr:cNvCxnSpPr/>
      </xdr:nvCxnSpPr>
      <xdr:spPr>
        <a:xfrm>
          <a:off x="2314575" y="19707225"/>
          <a:ext cx="752415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58</xdr:row>
      <xdr:rowOff>206375</xdr:rowOff>
    </xdr:from>
    <xdr:to>
      <xdr:col>7</xdr:col>
      <xdr:colOff>1028061</xdr:colOff>
      <xdr:row>58</xdr:row>
      <xdr:rowOff>206375</xdr:rowOff>
    </xdr:to>
    <xdr:cxnSp macro="">
      <xdr:nvCxnSpPr>
        <xdr:cNvPr id="12" name="Conexão reta 11">
          <a:extLst>
            <a:ext uri="{FF2B5EF4-FFF2-40B4-BE49-F238E27FC236}">
              <a16:creationId xmlns:a16="http://schemas.microsoft.com/office/drawing/2014/main" id="{73297817-EB7D-4542-B5DE-33DB8E741354}"/>
            </a:ext>
          </a:extLst>
        </xdr:cNvPr>
        <xdr:cNvCxnSpPr/>
      </xdr:nvCxnSpPr>
      <xdr:spPr>
        <a:xfrm>
          <a:off x="2324061" y="197040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80</xdr:row>
      <xdr:rowOff>209550</xdr:rowOff>
    </xdr:from>
    <xdr:to>
      <xdr:col>7</xdr:col>
      <xdr:colOff>1066200</xdr:colOff>
      <xdr:row>80</xdr:row>
      <xdr:rowOff>209550</xdr:rowOff>
    </xdr:to>
    <xdr:cxnSp macro="">
      <xdr:nvCxnSpPr>
        <xdr:cNvPr id="13" name="Conexão reta 12">
          <a:extLst>
            <a:ext uri="{FF2B5EF4-FFF2-40B4-BE49-F238E27FC236}">
              <a16:creationId xmlns:a16="http://schemas.microsoft.com/office/drawing/2014/main" id="{2E5DD7C1-5723-4F15-8E3C-FDCD8F1A1C1B}"/>
            </a:ext>
          </a:extLst>
        </xdr:cNvPr>
        <xdr:cNvCxnSpPr/>
      </xdr:nvCxnSpPr>
      <xdr:spPr>
        <a:xfrm>
          <a:off x="2314575" y="19707225"/>
          <a:ext cx="752415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9486</xdr:colOff>
      <xdr:row>80</xdr:row>
      <xdr:rowOff>206375</xdr:rowOff>
    </xdr:from>
    <xdr:to>
      <xdr:col>7</xdr:col>
      <xdr:colOff>1028061</xdr:colOff>
      <xdr:row>80</xdr:row>
      <xdr:rowOff>206375</xdr:rowOff>
    </xdr:to>
    <xdr:cxnSp macro="">
      <xdr:nvCxnSpPr>
        <xdr:cNvPr id="14" name="Conexão reta 13">
          <a:extLst>
            <a:ext uri="{FF2B5EF4-FFF2-40B4-BE49-F238E27FC236}">
              <a16:creationId xmlns:a16="http://schemas.microsoft.com/office/drawing/2014/main" id="{9ED3F657-6CC4-49D6-8BA8-8F18B4B77A9C}"/>
            </a:ext>
          </a:extLst>
        </xdr:cNvPr>
        <xdr:cNvCxnSpPr/>
      </xdr:nvCxnSpPr>
      <xdr:spPr>
        <a:xfrm>
          <a:off x="2324061" y="19704050"/>
          <a:ext cx="7505100" cy="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lisboa.pt/fileadmin/portal/municipio/organizacao/financas/taxas/RMTRAUOC_DR_2s_n193_aviso_13293_2012.pdf" TargetMode="External"/><Relationship Id="rId1" Type="http://schemas.openxmlformats.org/officeDocument/2006/relationships/hyperlink" Target="https://bmpesquisa.cm-lisboa.pt/ords/app_bm.download_my_file?p_file=5383" TargetMode="External"/><Relationship Id="rId4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lisboa.pt/fileadmin/portal/temas/urbanismo/planeamento_urbano/PDM/PDM_planta_ordenamento_qualificacao_espaco_urbano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lisboa.pt/fileadmin/portal/temas/urbanismo/planeamento_urbano/PDM/PDM_planta_ordenamento_qualificacao_espaco_urbano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lisboa.pt/fileadmin/portal/temas/urbanismo/planeamento_urbano/PDM/PDM_planta_ordenamento_qualificacao_espaco_urb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FE56-90C8-419C-B8B6-60FFFC9D9413}">
  <sheetPr codeName="Folha1"/>
  <dimension ref="A1:H47"/>
  <sheetViews>
    <sheetView zoomScale="80" zoomScaleNormal="80" zoomScalePageLayoutView="80" workbookViewId="0">
      <selection activeCell="D2" sqref="D2:E2"/>
    </sheetView>
  </sheetViews>
  <sheetFormatPr defaultRowHeight="15" x14ac:dyDescent="0.25"/>
  <cols>
    <col min="1" max="1" width="35.5703125" style="2" customWidth="1"/>
    <col min="2" max="2" width="30.5703125" style="2" customWidth="1"/>
    <col min="3" max="6" width="30.5703125" style="1" customWidth="1"/>
    <col min="7" max="8" width="30.5703125" customWidth="1"/>
  </cols>
  <sheetData>
    <row r="1" spans="1:8" s="19" customFormat="1" ht="24.95" customHeight="1" thickBot="1" x14ac:dyDescent="0.3">
      <c r="A1" s="517" t="s">
        <v>0</v>
      </c>
      <c r="B1" s="518"/>
      <c r="C1" s="2"/>
      <c r="D1" s="2"/>
      <c r="E1" s="2"/>
      <c r="F1" s="2"/>
    </row>
    <row r="2" spans="1:8" s="19" customFormat="1" ht="24.95" customHeight="1" x14ac:dyDescent="0.25">
      <c r="A2" s="245" t="s">
        <v>1</v>
      </c>
      <c r="B2" s="252">
        <v>94.08</v>
      </c>
      <c r="C2" s="2"/>
      <c r="D2" s="2"/>
      <c r="E2" s="2"/>
      <c r="F2" s="2"/>
    </row>
    <row r="3" spans="1:8" s="19" customFormat="1" ht="24.95" customHeight="1" x14ac:dyDescent="0.25">
      <c r="A3" s="246" t="s">
        <v>2</v>
      </c>
      <c r="B3" s="253">
        <v>13.07</v>
      </c>
      <c r="C3" s="2"/>
      <c r="D3" s="2"/>
      <c r="E3" s="2"/>
      <c r="F3" s="2"/>
    </row>
    <row r="4" spans="1:8" s="19" customFormat="1" ht="24.95" customHeight="1" x14ac:dyDescent="0.25">
      <c r="A4" s="246" t="s">
        <v>3</v>
      </c>
      <c r="B4" s="253">
        <v>23.52</v>
      </c>
      <c r="C4" s="2"/>
      <c r="D4" s="2"/>
      <c r="E4" s="2"/>
      <c r="F4" s="2"/>
    </row>
    <row r="5" spans="1:8" s="19" customFormat="1" ht="24.95" customHeight="1" thickBot="1" x14ac:dyDescent="0.3">
      <c r="A5" s="247" t="s">
        <v>4</v>
      </c>
      <c r="B5" s="254">
        <v>20.23</v>
      </c>
      <c r="C5" s="2"/>
      <c r="D5" s="2"/>
      <c r="E5" s="2"/>
      <c r="F5" s="2"/>
    </row>
    <row r="6" spans="1:8" ht="15.75" thickBot="1" x14ac:dyDescent="0.3"/>
    <row r="7" spans="1:8" s="1" customFormat="1" ht="28.35" customHeight="1" thickBot="1" x14ac:dyDescent="0.3">
      <c r="A7" s="524" t="s">
        <v>5</v>
      </c>
      <c r="B7" s="525"/>
      <c r="C7" s="537" t="s">
        <v>6</v>
      </c>
      <c r="D7" s="537"/>
      <c r="E7" s="537"/>
      <c r="F7" s="537"/>
      <c r="G7" s="537"/>
      <c r="H7" s="538"/>
    </row>
    <row r="8" spans="1:8" s="1" customFormat="1" ht="22.5" customHeight="1" thickBot="1" x14ac:dyDescent="0.3">
      <c r="A8" s="526"/>
      <c r="B8" s="527"/>
      <c r="C8" s="530" t="s">
        <v>7</v>
      </c>
      <c r="D8" s="531"/>
      <c r="E8" s="531"/>
      <c r="F8" s="531"/>
      <c r="G8" s="531"/>
      <c r="H8" s="532"/>
    </row>
    <row r="9" spans="1:8" s="1" customFormat="1" ht="125.1" customHeight="1" thickBot="1" x14ac:dyDescent="0.3">
      <c r="A9" s="526"/>
      <c r="B9" s="527"/>
      <c r="C9" s="521" t="s">
        <v>8</v>
      </c>
      <c r="D9" s="522"/>
      <c r="E9" s="535" t="s">
        <v>9</v>
      </c>
      <c r="F9" s="536"/>
      <c r="G9" s="521" t="s">
        <v>10</v>
      </c>
      <c r="H9" s="536"/>
    </row>
    <row r="10" spans="1:8" s="1" customFormat="1" ht="22.5" customHeight="1" thickBot="1" x14ac:dyDescent="0.3">
      <c r="A10" s="528"/>
      <c r="B10" s="529"/>
      <c r="C10" s="109" t="s">
        <v>11</v>
      </c>
      <c r="D10" s="110" t="s">
        <v>12</v>
      </c>
      <c r="E10" s="85" t="s">
        <v>11</v>
      </c>
      <c r="F10" s="86" t="s">
        <v>12</v>
      </c>
      <c r="G10" s="109" t="s">
        <v>11</v>
      </c>
      <c r="H10" s="86" t="s">
        <v>12</v>
      </c>
    </row>
    <row r="11" spans="1:8" s="1" customFormat="1" ht="22.5" customHeight="1" x14ac:dyDescent="0.25">
      <c r="A11" s="533" t="s">
        <v>13</v>
      </c>
      <c r="B11" s="534"/>
      <c r="C11" s="13">
        <v>0.65</v>
      </c>
      <c r="D11" s="14">
        <v>0.7</v>
      </c>
      <c r="E11" s="13">
        <v>0.6</v>
      </c>
      <c r="F11" s="15">
        <v>0.65</v>
      </c>
      <c r="G11" s="16">
        <v>0.55000000000000004</v>
      </c>
      <c r="H11" s="15">
        <v>0.6</v>
      </c>
    </row>
    <row r="12" spans="1:8" s="1" customFormat="1" ht="22.5" customHeight="1" x14ac:dyDescent="0.25">
      <c r="A12" s="519" t="s">
        <v>14</v>
      </c>
      <c r="B12" s="520"/>
      <c r="C12" s="7">
        <v>0.2</v>
      </c>
      <c r="D12" s="9"/>
      <c r="E12" s="7">
        <v>0.15</v>
      </c>
      <c r="F12" s="5"/>
      <c r="G12" s="11">
        <v>0.12</v>
      </c>
      <c r="H12" s="5"/>
    </row>
    <row r="13" spans="1:8" s="1" customFormat="1" ht="22.5" customHeight="1" x14ac:dyDescent="0.25">
      <c r="A13" s="519" t="s">
        <v>15</v>
      </c>
      <c r="B13" s="520"/>
      <c r="C13" s="7">
        <v>9</v>
      </c>
      <c r="D13" s="9"/>
      <c r="E13" s="7">
        <v>7</v>
      </c>
      <c r="F13" s="5"/>
      <c r="G13" s="11">
        <v>6</v>
      </c>
      <c r="H13" s="5"/>
    </row>
    <row r="14" spans="1:8" s="1" customFormat="1" ht="22.5" customHeight="1" x14ac:dyDescent="0.25">
      <c r="A14" s="523" t="s">
        <v>16</v>
      </c>
      <c r="B14" s="248" t="s">
        <v>17</v>
      </c>
      <c r="C14" s="7">
        <v>9</v>
      </c>
      <c r="D14" s="9">
        <v>12</v>
      </c>
      <c r="E14" s="7">
        <v>7</v>
      </c>
      <c r="F14" s="5">
        <v>9</v>
      </c>
      <c r="G14" s="11">
        <v>6</v>
      </c>
      <c r="H14" s="5">
        <v>8</v>
      </c>
    </row>
    <row r="15" spans="1:8" s="1" customFormat="1" ht="22.5" customHeight="1" x14ac:dyDescent="0.25">
      <c r="A15" s="523"/>
      <c r="B15" s="248" t="s">
        <v>18</v>
      </c>
      <c r="C15" s="7">
        <v>12</v>
      </c>
      <c r="D15" s="9">
        <v>15</v>
      </c>
      <c r="E15" s="7">
        <v>9</v>
      </c>
      <c r="F15" s="5">
        <v>12</v>
      </c>
      <c r="G15" s="11">
        <v>8</v>
      </c>
      <c r="H15" s="5">
        <v>10</v>
      </c>
    </row>
    <row r="16" spans="1:8" s="1" customFormat="1" ht="22.5" customHeight="1" x14ac:dyDescent="0.25">
      <c r="A16" s="519" t="s">
        <v>19</v>
      </c>
      <c r="B16" s="520"/>
      <c r="C16" s="7">
        <v>9</v>
      </c>
      <c r="D16" s="9">
        <v>12</v>
      </c>
      <c r="E16" s="7">
        <v>7</v>
      </c>
      <c r="F16" s="5">
        <v>9</v>
      </c>
      <c r="G16" s="11">
        <v>6</v>
      </c>
      <c r="H16" s="5">
        <v>8</v>
      </c>
    </row>
    <row r="17" spans="1:8" s="1" customFormat="1" ht="22.5" customHeight="1" x14ac:dyDescent="0.25">
      <c r="A17" s="519" t="s">
        <v>20</v>
      </c>
      <c r="B17" s="520"/>
      <c r="C17" s="7">
        <v>27</v>
      </c>
      <c r="D17" s="9">
        <v>30</v>
      </c>
      <c r="E17" s="7">
        <v>21</v>
      </c>
      <c r="F17" s="5">
        <v>23</v>
      </c>
      <c r="G17" s="11">
        <v>18</v>
      </c>
      <c r="H17" s="5">
        <v>20</v>
      </c>
    </row>
    <row r="18" spans="1:8" s="1" customFormat="1" ht="22.5" customHeight="1" x14ac:dyDescent="0.25">
      <c r="A18" s="519" t="s">
        <v>21</v>
      </c>
      <c r="B18" s="520"/>
      <c r="C18" s="7">
        <v>18</v>
      </c>
      <c r="D18" s="9">
        <v>21</v>
      </c>
      <c r="E18" s="7">
        <v>14</v>
      </c>
      <c r="F18" s="5">
        <v>16</v>
      </c>
      <c r="G18" s="11">
        <v>12</v>
      </c>
      <c r="H18" s="5">
        <v>14</v>
      </c>
    </row>
    <row r="19" spans="1:8" s="1" customFormat="1" ht="22.5" customHeight="1" x14ac:dyDescent="0.25">
      <c r="A19" s="519" t="s">
        <v>22</v>
      </c>
      <c r="B19" s="520"/>
      <c r="C19" s="7">
        <v>1.5</v>
      </c>
      <c r="D19" s="9">
        <v>1.5</v>
      </c>
      <c r="E19" s="7">
        <v>1.17</v>
      </c>
      <c r="F19" s="5">
        <v>1.17</v>
      </c>
      <c r="G19" s="11">
        <v>1</v>
      </c>
      <c r="H19" s="5">
        <v>1</v>
      </c>
    </row>
    <row r="20" spans="1:8" s="1" customFormat="1" ht="22.5" customHeight="1" thickBot="1" x14ac:dyDescent="0.3">
      <c r="A20" s="541" t="s">
        <v>23</v>
      </c>
      <c r="B20" s="542"/>
      <c r="C20" s="8">
        <v>15</v>
      </c>
      <c r="D20" s="10">
        <v>18</v>
      </c>
      <c r="E20" s="8">
        <v>12</v>
      </c>
      <c r="F20" s="6">
        <v>14</v>
      </c>
      <c r="G20" s="12">
        <v>10</v>
      </c>
      <c r="H20" s="6">
        <v>12</v>
      </c>
    </row>
    <row r="21" spans="1:8" s="1" customFormat="1" ht="28.35" customHeight="1" thickBot="1" x14ac:dyDescent="0.3">
      <c r="A21"/>
      <c r="C21" s="4"/>
      <c r="D21" s="4"/>
      <c r="E21" s="4"/>
      <c r="F21" s="4"/>
      <c r="G21" s="4"/>
      <c r="H21" s="4"/>
    </row>
    <row r="22" spans="1:8" s="1" customFormat="1" ht="80.099999999999994" customHeight="1" thickBot="1" x14ac:dyDescent="0.3">
      <c r="A22" s="524" t="s">
        <v>24</v>
      </c>
      <c r="B22" s="546"/>
      <c r="C22" s="545" t="s">
        <v>25</v>
      </c>
      <c r="D22" s="538"/>
      <c r="F22" s="2"/>
    </row>
    <row r="23" spans="1:8" s="2" customFormat="1" ht="22.5" customHeight="1" x14ac:dyDescent="0.25">
      <c r="A23" s="526"/>
      <c r="B23" s="547"/>
      <c r="C23" s="249" t="s">
        <v>26</v>
      </c>
      <c r="D23" s="108">
        <v>2</v>
      </c>
    </row>
    <row r="24" spans="1:8" s="2" customFormat="1" ht="22.5" customHeight="1" x14ac:dyDescent="0.25">
      <c r="A24" s="526"/>
      <c r="B24" s="547"/>
      <c r="C24" s="74" t="s">
        <v>27</v>
      </c>
      <c r="D24" s="94">
        <v>1.5</v>
      </c>
    </row>
    <row r="25" spans="1:8" s="2" customFormat="1" ht="22.5" customHeight="1" x14ac:dyDescent="0.25">
      <c r="A25" s="526"/>
      <c r="B25" s="547"/>
      <c r="C25" s="74" t="s">
        <v>28</v>
      </c>
      <c r="D25" s="94">
        <v>1</v>
      </c>
    </row>
    <row r="26" spans="1:8" s="2" customFormat="1" ht="22.5" customHeight="1" thickBot="1" x14ac:dyDescent="0.3">
      <c r="A26" s="528"/>
      <c r="B26" s="548"/>
      <c r="C26" s="250" t="s">
        <v>29</v>
      </c>
      <c r="D26" s="95">
        <v>1</v>
      </c>
    </row>
    <row r="27" spans="1:8" s="1" customFormat="1" ht="28.35" customHeight="1" thickBot="1" x14ac:dyDescent="0.3">
      <c r="B27" s="3"/>
    </row>
    <row r="28" spans="1:8" s="1" customFormat="1" ht="60" customHeight="1" thickBot="1" x14ac:dyDescent="0.3">
      <c r="A28" s="524" t="s">
        <v>30</v>
      </c>
      <c r="B28" s="525"/>
      <c r="C28" s="545" t="s">
        <v>31</v>
      </c>
      <c r="D28" s="538"/>
      <c r="E28" s="17"/>
      <c r="F28" s="17"/>
      <c r="G28" s="17"/>
      <c r="H28" s="17"/>
    </row>
    <row r="29" spans="1:8" s="2" customFormat="1" ht="22.5" customHeight="1" x14ac:dyDescent="0.25">
      <c r="A29" s="526"/>
      <c r="B29" s="527"/>
      <c r="C29" s="251" t="s">
        <v>32</v>
      </c>
      <c r="D29" s="96">
        <v>3</v>
      </c>
      <c r="E29" s="107"/>
      <c r="F29" s="107"/>
    </row>
    <row r="30" spans="1:8" s="2" customFormat="1" ht="22.5" customHeight="1" thickBot="1" x14ac:dyDescent="0.3">
      <c r="A30" s="528"/>
      <c r="B30" s="529"/>
      <c r="C30" s="250" t="s">
        <v>33</v>
      </c>
      <c r="D30" s="95">
        <v>4</v>
      </c>
    </row>
    <row r="31" spans="1:8" s="1" customFormat="1" ht="28.35" customHeight="1" thickBot="1" x14ac:dyDescent="0.3">
      <c r="B31" s="3"/>
    </row>
    <row r="32" spans="1:8" s="1" customFormat="1" ht="80.099999999999994" customHeight="1" thickBot="1" x14ac:dyDescent="0.3">
      <c r="A32" s="524" t="s">
        <v>34</v>
      </c>
      <c r="B32" s="525"/>
      <c r="C32" s="545" t="s">
        <v>35</v>
      </c>
      <c r="D32" s="537"/>
      <c r="E32" s="538"/>
    </row>
    <row r="33" spans="1:6" s="1" customFormat="1" ht="141.6" customHeight="1" thickBot="1" x14ac:dyDescent="0.3">
      <c r="A33" s="528"/>
      <c r="B33" s="529"/>
      <c r="C33" s="104" t="s">
        <v>36</v>
      </c>
      <c r="D33" s="105" t="s">
        <v>37</v>
      </c>
      <c r="E33" s="106" t="s">
        <v>38</v>
      </c>
    </row>
    <row r="34" spans="1:6" s="2" customFormat="1" ht="22.5" customHeight="1" x14ac:dyDescent="0.25">
      <c r="A34" s="553">
        <v>1</v>
      </c>
      <c r="B34" s="554"/>
      <c r="C34" s="97" t="s">
        <v>39</v>
      </c>
      <c r="D34" s="98" t="s">
        <v>40</v>
      </c>
      <c r="E34" s="99" t="s">
        <v>39</v>
      </c>
    </row>
    <row r="35" spans="1:6" s="2" customFormat="1" ht="22.5" customHeight="1" x14ac:dyDescent="0.25">
      <c r="A35" s="539">
        <v>1.6</v>
      </c>
      <c r="B35" s="540"/>
      <c r="C35" s="100" t="s">
        <v>41</v>
      </c>
      <c r="D35" s="101" t="s">
        <v>42</v>
      </c>
      <c r="E35" s="102" t="s">
        <v>43</v>
      </c>
    </row>
    <row r="36" spans="1:6" s="2" customFormat="1" ht="22.5" customHeight="1" x14ac:dyDescent="0.25">
      <c r="A36" s="539">
        <v>2.2000000000000002</v>
      </c>
      <c r="B36" s="540"/>
      <c r="C36" s="100" t="s">
        <v>44</v>
      </c>
      <c r="D36" s="101" t="s">
        <v>45</v>
      </c>
      <c r="E36" s="102" t="s">
        <v>46</v>
      </c>
    </row>
    <row r="37" spans="1:6" s="2" customFormat="1" ht="22.5" customHeight="1" x14ac:dyDescent="0.25">
      <c r="A37" s="539">
        <v>3</v>
      </c>
      <c r="B37" s="540"/>
      <c r="C37" s="100" t="s">
        <v>47</v>
      </c>
      <c r="D37" s="101" t="s">
        <v>48</v>
      </c>
      <c r="E37" s="102" t="s">
        <v>49</v>
      </c>
    </row>
    <row r="38" spans="1:6" s="2" customFormat="1" ht="22.5" customHeight="1" x14ac:dyDescent="0.25">
      <c r="A38" s="539">
        <v>4</v>
      </c>
      <c r="B38" s="540"/>
      <c r="C38" s="100" t="s">
        <v>50</v>
      </c>
      <c r="D38" s="549"/>
      <c r="E38" s="551"/>
    </row>
    <row r="39" spans="1:6" s="2" customFormat="1" ht="22.5" customHeight="1" x14ac:dyDescent="0.25">
      <c r="A39" s="539">
        <v>5</v>
      </c>
      <c r="B39" s="540"/>
      <c r="C39" s="100" t="s">
        <v>51</v>
      </c>
      <c r="D39" s="549"/>
      <c r="E39" s="551"/>
    </row>
    <row r="40" spans="1:6" s="2" customFormat="1" ht="22.5" customHeight="1" x14ac:dyDescent="0.25">
      <c r="A40" s="539">
        <v>6</v>
      </c>
      <c r="B40" s="540"/>
      <c r="C40" s="100" t="s">
        <v>52</v>
      </c>
      <c r="D40" s="549"/>
      <c r="E40" s="551"/>
    </row>
    <row r="41" spans="1:6" s="2" customFormat="1" ht="22.5" customHeight="1" x14ac:dyDescent="0.25">
      <c r="A41" s="539">
        <v>7</v>
      </c>
      <c r="B41" s="540"/>
      <c r="C41" s="100" t="s">
        <v>53</v>
      </c>
      <c r="D41" s="549"/>
      <c r="E41" s="551"/>
    </row>
    <row r="42" spans="1:6" s="19" customFormat="1" ht="22.5" customHeight="1" x14ac:dyDescent="0.25">
      <c r="A42" s="539">
        <v>8</v>
      </c>
      <c r="B42" s="540"/>
      <c r="C42" s="100" t="s">
        <v>54</v>
      </c>
      <c r="D42" s="549"/>
      <c r="E42" s="551"/>
      <c r="F42" s="2"/>
    </row>
    <row r="43" spans="1:6" s="19" customFormat="1" ht="22.5" customHeight="1" x14ac:dyDescent="0.25">
      <c r="A43" s="539">
        <v>9</v>
      </c>
      <c r="B43" s="540"/>
      <c r="C43" s="100" t="s">
        <v>55</v>
      </c>
      <c r="D43" s="549"/>
      <c r="E43" s="551"/>
      <c r="F43" s="2"/>
    </row>
    <row r="44" spans="1:6" s="19" customFormat="1" ht="22.5" customHeight="1" thickBot="1" x14ac:dyDescent="0.3">
      <c r="A44" s="543">
        <v>10</v>
      </c>
      <c r="B44" s="544"/>
      <c r="C44" s="103" t="s">
        <v>56</v>
      </c>
      <c r="D44" s="550"/>
      <c r="E44" s="552"/>
      <c r="F44" s="2"/>
    </row>
    <row r="45" spans="1:6" x14ac:dyDescent="0.25">
      <c r="A45" s="1"/>
    </row>
    <row r="47" spans="1:6" x14ac:dyDescent="0.25">
      <c r="B47" s="1"/>
    </row>
  </sheetData>
  <sheetProtection algorithmName="SHA-512" hashValue="VDDXa7sPwk3ssdGrsgk+x7u47sTcKBydJiRPN0ftN6GvAbNWLxazr2XeRcS9CUxNyLcMmxWnhC6TA0MT5qnsdw==" saltValue="deE2JKggEXKZTyCarw6R9w==" spinCount="100000" sheet="1" objects="1" scenarios="1" selectLockedCells="1" selectUnlockedCells="1"/>
  <mergeCells count="35">
    <mergeCell ref="A44:B44"/>
    <mergeCell ref="C32:E32"/>
    <mergeCell ref="A32:B33"/>
    <mergeCell ref="C22:D22"/>
    <mergeCell ref="A22:B26"/>
    <mergeCell ref="D38:D44"/>
    <mergeCell ref="E38:E44"/>
    <mergeCell ref="C28:D28"/>
    <mergeCell ref="A28:B30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19:B19"/>
    <mergeCell ref="A20:B20"/>
    <mergeCell ref="A1:B1"/>
    <mergeCell ref="A16:B16"/>
    <mergeCell ref="A17:B17"/>
    <mergeCell ref="A18:B18"/>
    <mergeCell ref="C9:D9"/>
    <mergeCell ref="A14:A15"/>
    <mergeCell ref="A7:B10"/>
    <mergeCell ref="C8:H8"/>
    <mergeCell ref="A11:B11"/>
    <mergeCell ref="A12:B12"/>
    <mergeCell ref="A13:B13"/>
    <mergeCell ref="E9:F9"/>
    <mergeCell ref="G9:H9"/>
    <mergeCell ref="C7:H7"/>
  </mergeCells>
  <phoneticPr fontId="4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35" fitToHeight="0" orientation="portrait" r:id="rId1"/>
  <headerFooter>
    <oddHeader xml:space="preserve">&amp;L&amp;G&amp;R&amp;"-,Negrito"&amp;28&amp;K04+000SIMULADOR DE TAXAS&amp;18
&amp;20TABELAS DE COEFICIENTES&amp;14
&amp;"-,Normal"&amp;11&amp;K000000 &amp;"-,Negrito"&amp;14&amp;K04+000
</oddHeader>
    <oddFooter>&amp;L&amp;"-,Negrito"&amp;9
&amp;"Arial,Negrito"&amp;16&amp;K0070C0EPIOU&amp;9&amp;K01+000 &amp;"Arial,Normal"&amp;8Equipa de Projeto para Inovação Organizacional no Urbanismo&amp;"-,Normal"&amp;10 &amp;"-,Negrito" &amp;RSimulador de Taxas_Tabelas de Coeficientes - &amp;"-,Negrito"Nov/2025&amp;"-,Normal"
&amp;P de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6BE0-E4FF-413F-9515-F5CD2D376EFD}">
  <sheetPr codeName="Folha9">
    <tabColor theme="7"/>
    <pageSetUpPr fitToPage="1"/>
  </sheetPr>
  <dimension ref="A1:G66"/>
  <sheetViews>
    <sheetView showGridLines="0" zoomScale="90" zoomScaleNormal="90" workbookViewId="0">
      <selection activeCell="E2" sqref="E2:F2"/>
    </sheetView>
  </sheetViews>
  <sheetFormatPr defaultColWidth="5.5703125" defaultRowHeight="15.75" customHeight="1" x14ac:dyDescent="0.25"/>
  <cols>
    <col min="1" max="1" width="2.5703125" style="143" customWidth="1"/>
    <col min="2" max="2" width="6.5703125" style="142" customWidth="1"/>
    <col min="3" max="4" width="75.5703125" style="155" customWidth="1"/>
    <col min="5" max="6" width="40.5703125" style="143" customWidth="1"/>
    <col min="7" max="7" width="2.5703125" style="143" customWidth="1"/>
    <col min="8" max="16384" width="5.5703125" style="143"/>
  </cols>
  <sheetData>
    <row r="1" spans="1:7" ht="15.75" customHeight="1" x14ac:dyDescent="0.25">
      <c r="A1" s="273"/>
      <c r="B1" s="267"/>
      <c r="C1" s="268"/>
      <c r="D1" s="268"/>
      <c r="E1" s="269"/>
      <c r="F1" s="269"/>
      <c r="G1" s="273"/>
    </row>
    <row r="2" spans="1:7" ht="15.75" customHeight="1" x14ac:dyDescent="0.25">
      <c r="A2" s="273"/>
      <c r="B2" s="267"/>
      <c r="C2" s="271"/>
      <c r="D2" s="271" t="s">
        <v>282</v>
      </c>
      <c r="E2" s="582"/>
      <c r="F2" s="582"/>
      <c r="G2" s="273"/>
    </row>
    <row r="3" spans="1:7" ht="15.75" customHeight="1" x14ac:dyDescent="0.25">
      <c r="A3" s="273"/>
      <c r="B3" s="267"/>
      <c r="C3" s="356"/>
      <c r="D3" s="356"/>
      <c r="E3" s="282"/>
      <c r="F3" s="269"/>
      <c r="G3" s="273"/>
    </row>
    <row r="4" spans="1:7" ht="15.75" customHeight="1" x14ac:dyDescent="0.25">
      <c r="A4" s="273"/>
      <c r="B4" s="267"/>
      <c r="C4" s="271"/>
      <c r="D4" s="271" t="s">
        <v>283</v>
      </c>
      <c r="E4" s="582"/>
      <c r="F4" s="582"/>
      <c r="G4" s="273"/>
    </row>
    <row r="5" spans="1:7" ht="15.75" customHeight="1" x14ac:dyDescent="0.25">
      <c r="A5" s="273"/>
      <c r="B5" s="267"/>
      <c r="C5" s="356"/>
      <c r="D5" s="356"/>
      <c r="E5" s="282"/>
      <c r="F5" s="269"/>
      <c r="G5" s="273"/>
    </row>
    <row r="6" spans="1:7" ht="15.75" customHeight="1" x14ac:dyDescent="0.25">
      <c r="A6" s="273"/>
      <c r="B6" s="267"/>
      <c r="C6" s="271"/>
      <c r="D6" s="271" t="s">
        <v>284</v>
      </c>
      <c r="E6" s="583">
        <f ca="1">NOW()</f>
        <v>46178.662026273145</v>
      </c>
      <c r="F6" s="583"/>
      <c r="G6" s="273"/>
    </row>
    <row r="7" spans="1:7" ht="15.75" customHeight="1" x14ac:dyDescent="0.25">
      <c r="A7" s="273"/>
      <c r="B7" s="267"/>
      <c r="C7" s="268"/>
      <c r="D7" s="268"/>
      <c r="E7" s="269"/>
      <c r="F7" s="269"/>
      <c r="G7" s="273"/>
    </row>
    <row r="8" spans="1:7" ht="24.95" customHeight="1" x14ac:dyDescent="0.25">
      <c r="A8" s="273"/>
      <c r="B8" s="145" t="s">
        <v>467</v>
      </c>
      <c r="C8" s="145"/>
      <c r="D8" s="145"/>
      <c r="E8" s="146"/>
      <c r="F8" s="146"/>
      <c r="G8" s="273"/>
    </row>
    <row r="9" spans="1:7" x14ac:dyDescent="0.25">
      <c r="A9" s="273"/>
      <c r="B9" s="267"/>
      <c r="C9" s="275"/>
      <c r="D9" s="275"/>
      <c r="E9" s="273"/>
      <c r="F9" s="273"/>
      <c r="G9" s="273"/>
    </row>
    <row r="10" spans="1:7" x14ac:dyDescent="0.25">
      <c r="A10" s="273"/>
      <c r="B10" s="267">
        <v>1</v>
      </c>
      <c r="C10" s="276" t="s">
        <v>447</v>
      </c>
      <c r="D10" s="276"/>
      <c r="E10" s="269"/>
      <c r="F10" s="391"/>
      <c r="G10" s="273"/>
    </row>
    <row r="11" spans="1:7" x14ac:dyDescent="0.25">
      <c r="A11" s="273"/>
      <c r="B11" s="267"/>
      <c r="C11" s="278"/>
      <c r="D11" s="278"/>
      <c r="E11" s="269"/>
      <c r="F11" s="269"/>
      <c r="G11" s="273"/>
    </row>
    <row r="12" spans="1:7" x14ac:dyDescent="0.25">
      <c r="A12" s="273"/>
      <c r="B12" s="267">
        <v>2</v>
      </c>
      <c r="C12" s="276" t="s">
        <v>288</v>
      </c>
      <c r="D12" s="276"/>
      <c r="E12" s="269"/>
      <c r="F12" s="392"/>
      <c r="G12" s="273"/>
    </row>
    <row r="13" spans="1:7" x14ac:dyDescent="0.25">
      <c r="A13" s="273"/>
      <c r="B13" s="267"/>
      <c r="C13" s="276"/>
      <c r="D13" s="276"/>
      <c r="E13" s="269"/>
      <c r="F13" s="357"/>
      <c r="G13" s="273"/>
    </row>
    <row r="14" spans="1:7" x14ac:dyDescent="0.25">
      <c r="A14" s="273"/>
      <c r="B14" s="267">
        <v>3</v>
      </c>
      <c r="C14" s="276" t="s">
        <v>468</v>
      </c>
      <c r="D14" s="276"/>
      <c r="E14" s="269"/>
      <c r="F14" s="392"/>
      <c r="G14" s="273"/>
    </row>
    <row r="15" spans="1:7" x14ac:dyDescent="0.25">
      <c r="A15" s="273"/>
      <c r="B15" s="286"/>
      <c r="C15" s="282"/>
      <c r="D15" s="282"/>
      <c r="E15" s="269"/>
      <c r="F15" s="269"/>
      <c r="G15" s="273"/>
    </row>
    <row r="16" spans="1:7" s="151" customFormat="1" ht="21" x14ac:dyDescent="0.25">
      <c r="A16" s="291"/>
      <c r="B16" s="145" t="s">
        <v>356</v>
      </c>
      <c r="C16" s="149"/>
      <c r="D16" s="149"/>
      <c r="E16" s="150"/>
      <c r="F16" s="150"/>
      <c r="G16" s="291"/>
    </row>
    <row r="17" spans="1:7" x14ac:dyDescent="0.25">
      <c r="A17" s="273"/>
      <c r="B17" s="267"/>
      <c r="C17" s="275"/>
      <c r="D17" s="275"/>
      <c r="E17" s="273"/>
      <c r="F17" s="273"/>
      <c r="G17" s="273"/>
    </row>
    <row r="18" spans="1:7" s="152" customFormat="1" ht="45" customHeight="1" x14ac:dyDescent="0.25">
      <c r="A18" s="323"/>
      <c r="B18" s="441" t="s">
        <v>357</v>
      </c>
      <c r="C18" s="295" t="s">
        <v>91</v>
      </c>
      <c r="D18" s="295"/>
      <c r="E18" s="440" t="str">
        <f>IF(
OR(
F10="Certidão para efeitos de propriedade horizontal",
F10="Certificação de estado de conservação",
F10="Averbamentos ao alvará de Utilização decorrentes de legislação específica",
F10="Averbamentos de Substituição de requerente/técnico autor/diretor de obra/empreiteiro",
F10="Emissão de alvará de licença ou o seu aditamento de Obras de Urbanização/Trabalhos de Remodelação de Terrenos",
F10="Aditamento aos projetos de arquitetura ou de especialidades",
F10="Emissão de alvará de licença de Obras de Edificação/Obras de Demolição",
F10="Emissão de alvará de autorização de Utilização"
),
'SIMULADOR_TAXAS ADMINISTRATIVAS'!C29,
IF(
AND(
OR(
F10="Prorrogação de prazo de execução das Obras de Edificação",
F10="1ª prorrogação do prazo de execução das Obras de Urbanização/Trabalhos de Remodelação de Terrenos"
),
F12&gt;0
),
'SIMULADOR_TAXAS ADMINISTRATIVAS'!C65,
IF(
AND(
OR(
F10="2ª prorrogação do prazo de execução das Obras de Urbanização/Trabalhos de Remodelação de Terrenos",
F10="Licença especial para a conclusão de Trabalhos de Remodelação de Terrenos inacabados"
),
F12&gt;0
),
'SIMULADOR_TAXAS ADMINISTRATIVAS'!C51,
IF(
AND(
F10="Licença especial para conclusão de Obras de Edificação inacabadas",
F12&gt;0
),
'SIMULADOR_TAXAS ADMINISTRATIVAS'!C68,
IF(
AND(
F10="Licença especial para a conclusão das Obras de Urbanização inacabadas",
F12&gt;0
),
'SIMULADOR_TAXAS ADMINISTRATIVAS'!C55,
IF(
OR(
F10="Aditamento aos projetos de loteamento/obras de urbanização",
F10="Emissão de certidão de destaque",
F10="Certidão de demolição",
F10="Emissão de alvará de licença de Operações de Loteamento, que constituam menos de 10 lotes, ou o seu aditamento",
F10="Pedido de antecipação de trabalhos de demolição/escavação e contenção periférica"
),
'SIMULADOR_TAXAS ADMINISTRATIVAS'!C34,
IF(
OR(
F10="Certificação de parcela constituída por Plano de Pormenor, para efeitos registais",
F10="Pedido de informação prévia sobre realização de Obras de Edificação",
F10="Emissão de alvará de licença de Operações de Loteamento, que constituam 10 ou mais lotes, ou o seu aditamento"
),
'SIMULADOR_TAXAS ADMINISTRATIVAS'!C36,
IF(
OR(
F10="Pedido de informação prévia sobre realização de Operação de Loteamento/Obras de Urbanização/Trabalhos de Remodelação de Terrenos",
F10="Receção provisória/definitiva de Obras de Urbanização"
),
'SIMULADOR_TAXAS ADMINISTRATIVAS'!C46,
IF(
F10="Autorização de instalação de infra-estruturas de suporte das estações de radiocomunicações",'SIMULADOR_TAXAS ADMINISTRATIVAS'!C80,""
)
)
)
)
)
)
)
)
)</f>
        <v/>
      </c>
      <c r="F18" s="297" t="str">
        <f>IF(
OR(
F10="Certidão para efeitos de propriedade horizontal",
F10="Certificação de estado de conservação",
F10="Averbamentos ao alvará de Utilização decorrentes de legislação específica",
F10="Averbamentos de Substituição de requerente/técnico autor/diretor de obra/empreiteiro",
F10="Emissão de alvará de licença ou o seu aditamento de Obras de Urbanização/Trabalhos de Remodelação de Terrenos",
F10="Aditamento aos projetos de arquitetura ou de especialidades",
F10="Emissão de alvará de licença de Obras de Edificação/Obras de Demolição",
F10="Emissão de alvará de autorização de Utilização"
),
'SIMULADOR_TAXAS ADMINISTRATIVAS'!D29,
IF(
AND(
OR(
F10="Prorrogação de prazo de execução das Obras de Edificação",
F10="1ª prorrogação do prazo de execução das Obras de Urbanização/Trabalhos de Remodelação de Terrenos",
F10="2ª prorrogação do prazo de execução das Obras de Urbanização/Trabalhos de Remodelação de Terrenos",
F10="Licença especial para conclusão de Obras de Edificação inacabadas",
F10="Licença especial para a conclusão das Obras de Urbanização inacabadas",
F10="Licença especial para a conclusão de Trabalhos de Remodelação de Terrenos inacabados",
F10="Autorização de instalação de infra-estruturas de suporte das estações de radiocomunicações"
),
F12=""
),
"Preencher 2",
IF(
AND(
OR(
F10="Prorrogação de prazo de execução das Obras de Edificação",
F10="1ª prorrogação do prazo de execução das Obras de Urbanização/Trabalhos de Remodelação de Terrenos"
),
F12&gt;0
),
'SIMULADOR_TAXAS ADMINISTRATIVAS'!D65,
IF(
AND(
OR(
F10="2ª prorrogação do prazo de execução das Obras de Urbanização/Trabalhos de Remodelação de Terrenos",
F10="Licença especial para a conclusão de Trabalhos de Remodelação de Terrenos inacabados"
),
F12&gt;0
),
'SIMULADOR_TAXAS ADMINISTRATIVAS'!D51,
IF(
AND(
F10="Licença especial para conclusão de Obras de Edificação inacabadas",
F12&gt;0
),
'SIMULADOR_TAXAS ADMINISTRATIVAS'!D68,
IF(
AND(
F10="Licença especial para a conclusão das Obras de Urbanização inacabadas",
F12&gt;0
),
'SIMULADOR_TAXAS ADMINISTRATIVAS'!D55,
IF(
OR(
F10="Aditamento aos projetos de loteamento/obras de urbanização",
F10="Emissão de certidão de destaque",
F10="Certidão de demolição",
F10="Emissão de alvará de licença de Operações de Loteamento, que constituam menos de 10 lotes, ou o seu aditamento",
F10="Pedido de antecipação de trabalhos de demolição/escavação e contenção periférica"
),
'SIMULADOR_TAXAS ADMINISTRATIVAS'!D34,
IF(
OR(
F10="Certificação de parcela constituída por Plano de Pormenor, para efeitos registais",
F10="Pedido de informação prévia sobre realização de Obras de Edificação",
F10="Emissão de alvará de licença de Operações de Loteamento, que constituam 10 ou mais lotes, ou o seu aditamento"
),
'SIMULADOR_TAXAS ADMINISTRATIVAS'!D36,
IF(
OR(
F10="Pedido de informação prévia sobre realização de Operação de Loteamento/Obras de Urbanização/Trabalhos de Remodelação de Terrenos",
F10="Receção provisória/definitiva de Obras de Urbanização"
),
'SIMULADOR_TAXAS ADMINISTRATIVAS'!D46,
IF(
AND(
F10="Autorização de instalação de infra-estruturas de suporte das estações de radiocomunicações",
F12&gt;0,
F14=""),"Preencher 3",
IF(
AND(
F10="Autorização de instalação de infra-estruturas de suporte das estações de radiocomunicações",
F12&gt;0,
F14&gt;=1),'SIMULADOR_TAXAS ADMINISTRATIVAS'!D80,"Para simular a taxa aplicável, deve preencher os campos do formulário"
)
)
)
)
)
)
)
)
)))</f>
        <v>Para simular a taxa aplicável, deve preencher os campos do formulário</v>
      </c>
      <c r="G18" s="323"/>
    </row>
    <row r="19" spans="1:7" s="152" customFormat="1" ht="15.95" customHeight="1" x14ac:dyDescent="0.25">
      <c r="A19" s="323"/>
      <c r="B19" s="267"/>
      <c r="C19" s="276"/>
      <c r="D19" s="276"/>
      <c r="E19" s="358"/>
      <c r="F19" s="300"/>
      <c r="G19" s="323"/>
    </row>
    <row r="20" spans="1:7" s="152" customFormat="1" ht="45" customHeight="1" x14ac:dyDescent="0.25">
      <c r="A20" s="323"/>
      <c r="B20" s="410" t="s">
        <v>357</v>
      </c>
      <c r="C20" s="326" t="s">
        <v>469</v>
      </c>
      <c r="D20" s="276"/>
      <c r="E20" s="358"/>
      <c r="F20" s="352" t="str">
        <f>IF(OR(F18="Para simular a taxa aplicável, deve preencher os campos do formulário",F18="Preencher 2",F18="Preencher 3"),"Para apurar valor, deve preencher os campos do formulário",F18)</f>
        <v>Para apurar valor, deve preencher os campos do formulário</v>
      </c>
      <c r="G20" s="323"/>
    </row>
    <row r="21" spans="1:7" s="154" customFormat="1" ht="15.95" customHeight="1" x14ac:dyDescent="0.25">
      <c r="A21" s="324"/>
      <c r="B21" s="267"/>
      <c r="C21" s="298"/>
      <c r="D21" s="298"/>
      <c r="E21" s="269"/>
      <c r="F21" s="269"/>
      <c r="G21" s="324"/>
    </row>
    <row r="22" spans="1:7" s="151" customFormat="1" ht="24.95" customHeight="1" x14ac:dyDescent="0.25">
      <c r="A22" s="291"/>
      <c r="B22" s="145" t="s">
        <v>70</v>
      </c>
      <c r="C22" s="149"/>
      <c r="D22" s="149"/>
      <c r="E22" s="150"/>
      <c r="F22" s="157"/>
      <c r="G22" s="291"/>
    </row>
    <row r="23" spans="1:7" s="151" customFormat="1" ht="15.95" customHeight="1" x14ac:dyDescent="0.25">
      <c r="A23" s="291"/>
      <c r="B23" s="272"/>
      <c r="C23" s="291"/>
      <c r="D23" s="291"/>
      <c r="E23" s="292"/>
      <c r="F23" s="293"/>
      <c r="G23" s="291"/>
    </row>
    <row r="24" spans="1:7" s="152" customFormat="1" ht="15.95" customHeight="1" x14ac:dyDescent="0.25">
      <c r="A24" s="323"/>
      <c r="B24" s="314" t="s">
        <v>381</v>
      </c>
      <c r="C24" s="298" t="s">
        <v>382</v>
      </c>
      <c r="D24" s="298"/>
      <c r="E24" s="315"/>
      <c r="F24" s="316">
        <f>TABELAS_COEFICIENTES!B2</f>
        <v>94.08</v>
      </c>
      <c r="G24" s="323"/>
    </row>
    <row r="25" spans="1:7" s="152" customFormat="1" ht="15.95" customHeight="1" x14ac:dyDescent="0.25">
      <c r="A25" s="323"/>
      <c r="B25" s="314" t="s">
        <v>383</v>
      </c>
      <c r="C25" s="298" t="s">
        <v>384</v>
      </c>
      <c r="D25" s="298"/>
      <c r="E25" s="315"/>
      <c r="F25" s="316">
        <f>TABELAS_COEFICIENTES!B4</f>
        <v>23.52</v>
      </c>
      <c r="G25" s="323"/>
    </row>
    <row r="26" spans="1:7" s="152" customFormat="1" ht="15.95" customHeight="1" x14ac:dyDescent="0.25">
      <c r="A26" s="323"/>
      <c r="B26" s="314" t="s">
        <v>396</v>
      </c>
      <c r="C26" s="298" t="s">
        <v>397</v>
      </c>
      <c r="D26" s="298"/>
      <c r="E26" s="315"/>
      <c r="F26" s="301" t="str">
        <f>IF(F12="","",F12)</f>
        <v/>
      </c>
      <c r="G26" s="323"/>
    </row>
    <row r="27" spans="1:7" s="152" customFormat="1" ht="15.95" customHeight="1" x14ac:dyDescent="0.25">
      <c r="A27" s="323"/>
      <c r="B27" s="314" t="s">
        <v>470</v>
      </c>
      <c r="C27" s="298" t="s">
        <v>471</v>
      </c>
      <c r="D27" s="298"/>
      <c r="E27" s="315"/>
      <c r="F27" s="301" t="str">
        <f>IF(F14="","",F14)</f>
        <v/>
      </c>
      <c r="G27" s="323"/>
    </row>
    <row r="28" spans="1:7" s="152" customFormat="1" ht="15.95" customHeight="1" x14ac:dyDescent="0.25">
      <c r="A28" s="323"/>
      <c r="B28" s="359"/>
      <c r="C28" s="360"/>
      <c r="D28" s="360"/>
      <c r="E28" s="361"/>
      <c r="F28" s="331"/>
      <c r="G28" s="323"/>
    </row>
    <row r="29" spans="1:7" ht="15.75" customHeight="1" x14ac:dyDescent="0.25">
      <c r="A29" s="273"/>
      <c r="B29" s="267"/>
      <c r="C29" s="319"/>
      <c r="D29" s="319"/>
      <c r="E29" s="319"/>
      <c r="F29" s="319"/>
      <c r="G29" s="319"/>
    </row>
    <row r="30" spans="1:7" ht="15.75" customHeight="1" x14ac:dyDescent="0.25">
      <c r="A30" s="273"/>
      <c r="B30" s="301" t="s">
        <v>276</v>
      </c>
      <c r="C30" s="322" t="s">
        <v>277</v>
      </c>
      <c r="D30" s="322"/>
      <c r="E30" s="319"/>
      <c r="F30" s="319"/>
      <c r="G30" s="319"/>
    </row>
    <row r="31" spans="1:7" ht="15.75" customHeight="1" x14ac:dyDescent="0.25">
      <c r="A31" s="273"/>
      <c r="B31" s="267"/>
      <c r="C31" s="450" t="s">
        <v>278</v>
      </c>
      <c r="D31" s="298"/>
      <c r="E31" s="273"/>
      <c r="F31" s="274"/>
      <c r="G31" s="273"/>
    </row>
    <row r="32" spans="1:7" ht="15.75" customHeight="1" x14ac:dyDescent="0.25">
      <c r="A32" s="273"/>
      <c r="B32" s="267"/>
      <c r="C32" s="298" t="s">
        <v>279</v>
      </c>
      <c r="D32" s="298"/>
      <c r="E32" s="273"/>
      <c r="F32" s="274"/>
      <c r="G32" s="273"/>
    </row>
    <row r="33" spans="1:7" ht="15.75" customHeight="1" x14ac:dyDescent="0.25">
      <c r="A33" s="273"/>
      <c r="B33" s="267"/>
      <c r="C33" s="298" t="s">
        <v>280</v>
      </c>
      <c r="D33" s="318"/>
      <c r="E33" s="273"/>
      <c r="F33" s="274"/>
      <c r="G33" s="273"/>
    </row>
    <row r="34" spans="1:7" ht="15.75" customHeight="1" x14ac:dyDescent="0.25">
      <c r="A34" s="273"/>
      <c r="B34" s="267"/>
      <c r="C34" s="298" t="s">
        <v>281</v>
      </c>
      <c r="D34" s="318"/>
      <c r="E34" s="273"/>
      <c r="F34" s="274"/>
      <c r="G34" s="273"/>
    </row>
    <row r="35" spans="1:7" s="154" customFormat="1" ht="15" x14ac:dyDescent="0.25">
      <c r="A35" s="324"/>
      <c r="B35" s="267"/>
      <c r="C35" s="298"/>
      <c r="D35" s="298"/>
      <c r="E35" s="269"/>
      <c r="F35" s="269"/>
      <c r="G35" s="324"/>
    </row>
    <row r="36" spans="1:7" s="154" customFormat="1" ht="15" x14ac:dyDescent="0.25">
      <c r="B36" s="142"/>
      <c r="C36" s="153"/>
      <c r="D36" s="153"/>
      <c r="E36" s="27"/>
      <c r="F36" s="27"/>
    </row>
    <row r="37" spans="1:7" s="154" customFormat="1" ht="15" x14ac:dyDescent="0.25">
      <c r="B37" s="142"/>
      <c r="C37" s="153"/>
      <c r="D37" s="153"/>
      <c r="E37" s="27"/>
      <c r="F37" s="27"/>
    </row>
    <row r="38" spans="1:7" s="154" customFormat="1" ht="15" x14ac:dyDescent="0.25">
      <c r="B38" s="142"/>
      <c r="C38" s="153"/>
      <c r="D38" s="153"/>
      <c r="E38" s="27"/>
      <c r="F38" s="27"/>
    </row>
    <row r="39" spans="1:7" s="154" customFormat="1" ht="15" x14ac:dyDescent="0.25">
      <c r="B39" s="142"/>
      <c r="C39" s="153"/>
      <c r="D39" s="153"/>
      <c r="E39" s="27"/>
      <c r="F39" s="27"/>
    </row>
    <row r="40" spans="1:7" s="154" customFormat="1" ht="15" x14ac:dyDescent="0.25">
      <c r="B40" s="142"/>
      <c r="C40" s="153"/>
      <c r="D40" s="153"/>
      <c r="E40" s="27"/>
      <c r="F40" s="27"/>
    </row>
    <row r="41" spans="1:7" s="154" customFormat="1" ht="15" hidden="1" x14ac:dyDescent="0.25">
      <c r="B41" s="142"/>
      <c r="C41" s="153"/>
      <c r="D41" s="153"/>
      <c r="E41" s="27"/>
      <c r="F41" s="27"/>
    </row>
    <row r="42" spans="1:7" s="154" customFormat="1" ht="15" hidden="1" x14ac:dyDescent="0.25">
      <c r="B42" s="142"/>
      <c r="C42" s="163" t="s">
        <v>165</v>
      </c>
      <c r="D42" s="163"/>
      <c r="E42" s="27"/>
      <c r="F42" s="27"/>
    </row>
    <row r="43" spans="1:7" s="154" customFormat="1" ht="15" hidden="1" x14ac:dyDescent="0.25">
      <c r="B43" s="142"/>
      <c r="C43" s="163" t="s">
        <v>472</v>
      </c>
      <c r="D43" s="163"/>
      <c r="E43" s="27"/>
      <c r="F43" s="27"/>
    </row>
    <row r="44" spans="1:7" s="154" customFormat="1" ht="15" hidden="1" x14ac:dyDescent="0.25">
      <c r="B44" s="142"/>
      <c r="C44" s="163" t="s">
        <v>473</v>
      </c>
      <c r="D44" s="163"/>
      <c r="E44" s="27"/>
      <c r="F44" s="27"/>
    </row>
    <row r="45" spans="1:7" s="154" customFormat="1" ht="15" hidden="1" x14ac:dyDescent="0.25">
      <c r="B45" s="142"/>
      <c r="C45" s="163" t="s">
        <v>474</v>
      </c>
      <c r="D45" s="163"/>
      <c r="E45" s="27"/>
      <c r="F45" s="27"/>
    </row>
    <row r="46" spans="1:7" ht="15.75" hidden="1" customHeight="1" x14ac:dyDescent="0.25">
      <c r="C46" s="163" t="s">
        <v>108</v>
      </c>
      <c r="D46" s="163"/>
    </row>
    <row r="47" spans="1:7" ht="15.75" hidden="1" customHeight="1" x14ac:dyDescent="0.25">
      <c r="C47" s="163" t="s">
        <v>100</v>
      </c>
      <c r="D47" s="163"/>
    </row>
    <row r="48" spans="1:7" ht="15.75" hidden="1" customHeight="1" x14ac:dyDescent="0.25">
      <c r="C48" s="163" t="s">
        <v>101</v>
      </c>
      <c r="D48" s="163"/>
    </row>
    <row r="49" spans="3:4" ht="15.75" hidden="1" customHeight="1" x14ac:dyDescent="0.25">
      <c r="C49" s="163" t="s">
        <v>475</v>
      </c>
      <c r="D49" s="163"/>
    </row>
    <row r="50" spans="3:4" ht="15.75" hidden="1" customHeight="1" x14ac:dyDescent="0.25">
      <c r="C50" s="163" t="s">
        <v>106</v>
      </c>
      <c r="D50" s="163"/>
    </row>
    <row r="51" spans="3:4" ht="15.75" hidden="1" customHeight="1" x14ac:dyDescent="0.25">
      <c r="C51" s="163" t="s">
        <v>476</v>
      </c>
      <c r="D51" s="163"/>
    </row>
    <row r="52" spans="3:4" ht="15.75" hidden="1" customHeight="1" x14ac:dyDescent="0.25">
      <c r="C52" s="163" t="s">
        <v>477</v>
      </c>
      <c r="D52" s="163"/>
    </row>
    <row r="53" spans="3:4" ht="15.75" hidden="1" customHeight="1" x14ac:dyDescent="0.25">
      <c r="C53" s="163" t="s">
        <v>478</v>
      </c>
      <c r="D53" s="163"/>
    </row>
    <row r="54" spans="3:4" ht="15.75" hidden="1" customHeight="1" x14ac:dyDescent="0.25">
      <c r="C54" s="163" t="s">
        <v>479</v>
      </c>
      <c r="D54" s="163"/>
    </row>
    <row r="55" spans="3:4" ht="15.75" hidden="1" customHeight="1" x14ac:dyDescent="0.25">
      <c r="C55" s="163" t="s">
        <v>480</v>
      </c>
      <c r="D55" s="163"/>
    </row>
    <row r="56" spans="3:4" ht="15.75" hidden="1" customHeight="1" x14ac:dyDescent="0.25">
      <c r="C56" s="163" t="s">
        <v>481</v>
      </c>
      <c r="D56" s="163"/>
    </row>
    <row r="57" spans="3:4" ht="15.75" hidden="1" customHeight="1" x14ac:dyDescent="0.25">
      <c r="C57" s="163" t="s">
        <v>482</v>
      </c>
      <c r="D57" s="163"/>
    </row>
    <row r="58" spans="3:4" ht="15.75" hidden="1" customHeight="1" x14ac:dyDescent="0.25">
      <c r="C58" s="163" t="s">
        <v>483</v>
      </c>
      <c r="D58" s="163"/>
    </row>
    <row r="59" spans="3:4" ht="15.75" hidden="1" customHeight="1" x14ac:dyDescent="0.25">
      <c r="C59" s="163" t="s">
        <v>484</v>
      </c>
      <c r="D59" s="163"/>
    </row>
    <row r="60" spans="3:4" ht="15.75" hidden="1" customHeight="1" x14ac:dyDescent="0.25">
      <c r="C60" s="163" t="s">
        <v>485</v>
      </c>
      <c r="D60" s="163"/>
    </row>
    <row r="61" spans="3:4" ht="15.75" hidden="1" customHeight="1" x14ac:dyDescent="0.25">
      <c r="C61" s="163" t="s">
        <v>486</v>
      </c>
      <c r="D61" s="163"/>
    </row>
    <row r="62" spans="3:4" ht="15.75" hidden="1" customHeight="1" x14ac:dyDescent="0.25">
      <c r="C62" s="163" t="s">
        <v>487</v>
      </c>
      <c r="D62" s="163"/>
    </row>
    <row r="63" spans="3:4" ht="15.75" hidden="1" customHeight="1" x14ac:dyDescent="0.25">
      <c r="C63" s="163" t="s">
        <v>488</v>
      </c>
      <c r="D63" s="163"/>
    </row>
    <row r="64" spans="3:4" ht="15.75" hidden="1" customHeight="1" x14ac:dyDescent="0.25">
      <c r="C64" s="164" t="s">
        <v>489</v>
      </c>
      <c r="D64" s="164"/>
    </row>
    <row r="65" spans="3:3" ht="15.75" hidden="1" customHeight="1" x14ac:dyDescent="0.25">
      <c r="C65" s="196" t="s">
        <v>490</v>
      </c>
    </row>
    <row r="66" spans="3:3" ht="15.75" hidden="1" customHeight="1" x14ac:dyDescent="0.25"/>
  </sheetData>
  <sheetProtection algorithmName="SHA-512" hashValue="sRb368tY/lXx6xreVWDBTC5dpPISkjmVZLW+GLAfS+VAvAY60sKVefsBsoiIdRs9sW/bpmqyr/8CC091tU4QbQ==" saltValue="N9/kcUuBBUfgHT6yCTR4Mw==" spinCount="100000" sheet="1" objects="1" scenarios="1" selectLockedCells="1"/>
  <mergeCells count="3">
    <mergeCell ref="E2:F2"/>
    <mergeCell ref="E4:F4"/>
    <mergeCell ref="E6:F6"/>
  </mergeCells>
  <conditionalFormatting sqref="E2 E4">
    <cfRule type="containsBlanks" dxfId="36" priority="3">
      <formula>LEN(TRIM(E2))=0</formula>
    </cfRule>
  </conditionalFormatting>
  <conditionalFormatting sqref="F10 F12 F14">
    <cfRule type="containsBlanks" dxfId="35" priority="1">
      <formula>LEN(TRIM(F10))=0</formula>
    </cfRule>
  </conditionalFormatting>
  <dataValidations disablePrompts="1" count="6">
    <dataValidation type="custom" allowBlank="1" showInputMessage="1" showErrorMessage="1" sqref="F23" xr:uid="{76BA9230-0FBC-41AB-AF96-6A7B0E6B5CA4}">
      <formula1>OR(F17&lt;&gt;"Sem demolição",F23=" ")</formula1>
    </dataValidation>
    <dataValidation type="custom" allowBlank="1" showInputMessage="1" showErrorMessage="1" sqref="F22" xr:uid="{342356F1-3FD7-4F26-B001-A13B52227E1D}">
      <formula1>OR(#REF!&lt;&gt;"Sem demolição",F22=" ")</formula1>
    </dataValidation>
    <dataValidation type="custom" allowBlank="1" showInputMessage="1" showErrorMessage="1" sqref="F24:F25" xr:uid="{92CD8C3A-EC51-4AB7-818F-9CFFB34DACBD}">
      <formula1>OR(F21&lt;&gt;"Sem demolição",F24=" ")</formula1>
    </dataValidation>
    <dataValidation type="whole" allowBlank="1" showInputMessage="1" showErrorMessage="1" sqref="F13:F14" xr:uid="{5969664A-D34C-4D9F-AEF4-7E31854FC50E}">
      <formula1>0</formula1>
      <formula2>30</formula2>
    </dataValidation>
    <dataValidation type="whole" allowBlank="1" showInputMessage="1" showErrorMessage="1" prompt="Indique o prazo (em meses) para a execução da obra" sqref="F12" xr:uid="{CA697B71-91A8-4928-8042-AE5E0A9F16AF}">
      <formula1>0</formula1>
      <formula2>30</formula2>
    </dataValidation>
    <dataValidation type="list" allowBlank="1" showInputMessage="1" showErrorMessage="1" sqref="F10" xr:uid="{2B681AF2-4A96-49E2-854E-108EB4A24A77}">
      <formula1>$C$42:$C$65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horizontalDpi="200" verticalDpi="200" r:id="rId1"/>
  <headerFooter>
    <oddFooter>&amp;L&amp;F&amp;RPágina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C9397-23BA-4F37-948A-C674B6194470}">
  <sheetPr codeName="Folha10">
    <tabColor theme="9" tint="-0.249977111117893"/>
    <pageSetUpPr fitToPage="1"/>
  </sheetPr>
  <dimension ref="A1:O150"/>
  <sheetViews>
    <sheetView showGridLines="0" zoomScale="90" zoomScaleNormal="90" workbookViewId="0">
      <selection activeCell="J2" sqref="J2:M2"/>
    </sheetView>
  </sheetViews>
  <sheetFormatPr defaultColWidth="5.5703125" defaultRowHeight="15.75" customHeight="1" x14ac:dyDescent="0.25"/>
  <cols>
    <col min="1" max="1" width="2.5703125" style="143" customWidth="1"/>
    <col min="2" max="2" width="6.5703125" style="160" customWidth="1"/>
    <col min="3" max="3" width="25.5703125" style="155" customWidth="1"/>
    <col min="4" max="4" width="40.5703125" style="143" customWidth="1"/>
    <col min="5" max="5" width="25.5703125" style="156" customWidth="1"/>
    <col min="6" max="9" width="15.5703125" style="143" customWidth="1"/>
    <col min="10" max="11" width="20.5703125" style="143" customWidth="1"/>
    <col min="12" max="12" width="15.5703125" style="143" customWidth="1"/>
    <col min="13" max="13" width="25.5703125" style="143" customWidth="1"/>
    <col min="14" max="14" width="2.5703125" style="143" customWidth="1"/>
    <col min="15" max="16384" width="5.5703125" style="143"/>
  </cols>
  <sheetData>
    <row r="1" spans="1:14" ht="15.75" customHeight="1" x14ac:dyDescent="0.25">
      <c r="A1" s="273"/>
      <c r="B1" s="362"/>
      <c r="C1" s="268"/>
      <c r="D1" s="269"/>
      <c r="E1" s="270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15.75" customHeight="1" x14ac:dyDescent="0.25">
      <c r="A2" s="273"/>
      <c r="B2" s="362"/>
      <c r="C2" s="280"/>
      <c r="D2" s="280"/>
      <c r="E2" s="280"/>
      <c r="F2" s="280"/>
      <c r="G2" s="280"/>
      <c r="H2" s="280"/>
      <c r="I2" s="271" t="s">
        <v>282</v>
      </c>
      <c r="J2" s="582"/>
      <c r="K2" s="582"/>
      <c r="L2" s="582"/>
      <c r="M2" s="582"/>
      <c r="N2" s="273"/>
    </row>
    <row r="3" spans="1:14" ht="15.75" customHeight="1" x14ac:dyDescent="0.25">
      <c r="A3" s="273"/>
      <c r="B3" s="362"/>
      <c r="C3" s="280"/>
      <c r="D3" s="273"/>
      <c r="E3" s="274"/>
      <c r="F3" s="273"/>
      <c r="G3" s="273"/>
      <c r="H3" s="273"/>
      <c r="I3" s="323"/>
      <c r="J3" s="273"/>
      <c r="K3" s="269"/>
      <c r="L3" s="270"/>
      <c r="M3" s="273"/>
      <c r="N3" s="273"/>
    </row>
    <row r="4" spans="1:14" ht="15.75" customHeight="1" x14ac:dyDescent="0.25">
      <c r="A4" s="273"/>
      <c r="B4" s="362"/>
      <c r="C4" s="280"/>
      <c r="D4" s="280"/>
      <c r="E4" s="280"/>
      <c r="F4" s="280"/>
      <c r="G4" s="280"/>
      <c r="H4" s="280"/>
      <c r="I4" s="271" t="s">
        <v>283</v>
      </c>
      <c r="J4" s="582"/>
      <c r="K4" s="582"/>
      <c r="L4" s="582"/>
      <c r="M4" s="582"/>
      <c r="N4" s="273"/>
    </row>
    <row r="5" spans="1:14" ht="15.75" customHeight="1" x14ac:dyDescent="0.25">
      <c r="A5" s="273"/>
      <c r="B5" s="362"/>
      <c r="C5" s="280"/>
      <c r="D5" s="273"/>
      <c r="E5" s="274"/>
      <c r="F5" s="273"/>
      <c r="G5" s="273"/>
      <c r="H5" s="273"/>
      <c r="I5" s="323"/>
      <c r="J5" s="273"/>
      <c r="K5" s="269"/>
      <c r="L5" s="270"/>
      <c r="M5" s="273"/>
      <c r="N5" s="273"/>
    </row>
    <row r="6" spans="1:14" ht="15.75" customHeight="1" x14ac:dyDescent="0.25">
      <c r="A6" s="273"/>
      <c r="B6" s="362"/>
      <c r="C6" s="280"/>
      <c r="D6" s="280"/>
      <c r="E6" s="280"/>
      <c r="F6" s="280"/>
      <c r="G6" s="280"/>
      <c r="H6" s="280"/>
      <c r="I6" s="271" t="s">
        <v>284</v>
      </c>
      <c r="J6" s="583">
        <f ca="1">NOW()</f>
        <v>46178.662026273145</v>
      </c>
      <c r="K6" s="583"/>
      <c r="L6" s="583"/>
      <c r="M6" s="583"/>
      <c r="N6" s="273"/>
    </row>
    <row r="7" spans="1:14" ht="15.75" customHeight="1" x14ac:dyDescent="0.25">
      <c r="A7" s="273"/>
      <c r="B7" s="362"/>
      <c r="C7" s="268"/>
      <c r="D7" s="269"/>
      <c r="E7" s="270"/>
      <c r="F7" s="273"/>
      <c r="G7" s="273"/>
      <c r="H7" s="273"/>
      <c r="I7" s="273"/>
      <c r="J7" s="273"/>
      <c r="K7" s="273"/>
      <c r="L7" s="273"/>
      <c r="M7" s="273"/>
      <c r="N7" s="273"/>
    </row>
    <row r="8" spans="1:14" ht="24.95" customHeight="1" x14ac:dyDescent="0.25">
      <c r="A8" s="273"/>
      <c r="B8" s="145" t="s">
        <v>491</v>
      </c>
      <c r="C8" s="145"/>
      <c r="D8" s="146"/>
      <c r="E8" s="147"/>
      <c r="F8" s="146"/>
      <c r="G8" s="146"/>
      <c r="H8" s="146"/>
      <c r="I8" s="146"/>
      <c r="J8" s="146"/>
      <c r="K8" s="146"/>
      <c r="L8" s="146"/>
      <c r="M8" s="146"/>
      <c r="N8" s="273"/>
    </row>
    <row r="9" spans="1:14" ht="35.1" customHeight="1" x14ac:dyDescent="0.25">
      <c r="A9" s="273"/>
      <c r="B9" s="596" t="s">
        <v>492</v>
      </c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273"/>
    </row>
    <row r="10" spans="1:14" ht="15.75" customHeight="1" x14ac:dyDescent="0.25">
      <c r="A10" s="273"/>
      <c r="B10" s="362"/>
      <c r="C10" s="275"/>
      <c r="D10" s="273"/>
      <c r="E10" s="274"/>
      <c r="F10" s="273"/>
      <c r="G10" s="273"/>
      <c r="H10" s="273"/>
      <c r="I10" s="273"/>
      <c r="J10" s="273"/>
      <c r="K10" s="273"/>
      <c r="L10" s="273"/>
      <c r="M10" s="273"/>
      <c r="N10" s="273"/>
    </row>
    <row r="11" spans="1:14" x14ac:dyDescent="0.25">
      <c r="A11" s="273"/>
      <c r="B11" s="363">
        <v>1</v>
      </c>
      <c r="C11" s="276" t="s">
        <v>447</v>
      </c>
      <c r="D11" s="269"/>
      <c r="E11" s="274"/>
      <c r="F11" s="273"/>
      <c r="G11" s="273"/>
      <c r="H11" s="273"/>
      <c r="I11" s="273"/>
      <c r="J11" s="273"/>
      <c r="K11" s="273"/>
      <c r="L11" s="273"/>
      <c r="M11" s="401"/>
      <c r="N11" s="273"/>
    </row>
    <row r="12" spans="1:14" x14ac:dyDescent="0.25">
      <c r="A12" s="273"/>
      <c r="B12" s="365"/>
      <c r="C12" s="282"/>
      <c r="D12" s="269"/>
      <c r="E12" s="274"/>
      <c r="F12" s="273"/>
      <c r="G12" s="273"/>
      <c r="H12" s="273"/>
      <c r="I12" s="273"/>
      <c r="J12" s="273"/>
      <c r="K12" s="273"/>
      <c r="L12" s="273"/>
      <c r="M12" s="364"/>
      <c r="N12" s="273"/>
    </row>
    <row r="13" spans="1:14" x14ac:dyDescent="0.25">
      <c r="A13" s="273"/>
      <c r="B13" s="284">
        <v>2</v>
      </c>
      <c r="C13" s="285" t="s">
        <v>493</v>
      </c>
      <c r="D13" s="273"/>
      <c r="E13" s="274"/>
      <c r="F13" s="273"/>
      <c r="G13" s="273"/>
      <c r="H13" s="273"/>
      <c r="I13" s="273"/>
      <c r="J13" s="273"/>
      <c r="K13" s="273"/>
      <c r="L13" s="273"/>
      <c r="M13" s="364"/>
      <c r="N13" s="273"/>
    </row>
    <row r="14" spans="1:14" x14ac:dyDescent="0.25">
      <c r="A14" s="273"/>
      <c r="B14" s="365"/>
      <c r="C14" s="282"/>
      <c r="D14" s="269"/>
      <c r="E14" s="364"/>
      <c r="F14" s="273"/>
      <c r="G14" s="273"/>
      <c r="H14" s="273"/>
      <c r="I14" s="273"/>
      <c r="J14" s="273"/>
      <c r="K14" s="273"/>
      <c r="L14" s="273"/>
      <c r="M14" s="273"/>
      <c r="N14" s="273"/>
    </row>
    <row r="15" spans="1:14" ht="20.25" customHeight="1" x14ac:dyDescent="0.25">
      <c r="A15" s="273"/>
      <c r="B15" s="365"/>
      <c r="C15" s="451" t="s">
        <v>494</v>
      </c>
      <c r="D15" s="597"/>
      <c r="E15" s="597"/>
      <c r="F15" s="597"/>
      <c r="G15" s="597"/>
      <c r="H15" s="597"/>
      <c r="I15" s="452"/>
      <c r="J15" s="452"/>
      <c r="K15" s="452"/>
      <c r="L15" s="452"/>
      <c r="M15" s="453"/>
      <c r="N15" s="273"/>
    </row>
    <row r="16" spans="1:14" ht="20.100000000000001" customHeight="1" x14ac:dyDescent="0.25">
      <c r="A16" s="273"/>
      <c r="B16" s="365"/>
      <c r="C16" s="594" t="s">
        <v>495</v>
      </c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273"/>
    </row>
    <row r="17" spans="1:14" ht="20.100000000000001" customHeight="1" x14ac:dyDescent="0.25">
      <c r="A17" s="273"/>
      <c r="B17" s="365"/>
      <c r="C17" s="399" t="s">
        <v>92</v>
      </c>
      <c r="D17" s="399" t="s">
        <v>496</v>
      </c>
      <c r="E17" s="399" t="s">
        <v>94</v>
      </c>
      <c r="F17" s="400" t="s">
        <v>497</v>
      </c>
      <c r="G17" s="400" t="s">
        <v>498</v>
      </c>
      <c r="H17" s="400" t="s">
        <v>499</v>
      </c>
      <c r="I17" s="405" t="s">
        <v>500</v>
      </c>
      <c r="J17" s="405" t="s">
        <v>501</v>
      </c>
      <c r="K17" s="405" t="s">
        <v>502</v>
      </c>
      <c r="L17" s="400" t="s">
        <v>503</v>
      </c>
      <c r="M17" s="400" t="s">
        <v>504</v>
      </c>
      <c r="N17" s="273"/>
    </row>
    <row r="18" spans="1:14" ht="20.100000000000001" customHeight="1" x14ac:dyDescent="0.25">
      <c r="A18" s="273"/>
      <c r="B18" s="365"/>
      <c r="C18" s="395" t="s">
        <v>505</v>
      </c>
      <c r="D18" s="394" t="s">
        <v>506</v>
      </c>
      <c r="E18" s="403" t="s">
        <v>507</v>
      </c>
      <c r="F18" s="455"/>
      <c r="G18" s="414"/>
      <c r="H18" s="415"/>
      <c r="I18" s="416"/>
      <c r="J18" s="417"/>
      <c r="K18" s="418"/>
      <c r="L18" s="415"/>
      <c r="M18" s="58">
        <f>(G18*M118)*L18*M116</f>
        <v>0</v>
      </c>
      <c r="N18" s="273"/>
    </row>
    <row r="19" spans="1:14" ht="20.100000000000001" customHeight="1" x14ac:dyDescent="0.25">
      <c r="A19" s="273"/>
      <c r="B19" s="365"/>
      <c r="C19" s="395" t="s">
        <v>508</v>
      </c>
      <c r="D19" s="394" t="s">
        <v>509</v>
      </c>
      <c r="E19" s="403" t="s">
        <v>510</v>
      </c>
      <c r="F19" s="414"/>
      <c r="G19" s="419"/>
      <c r="H19" s="415"/>
      <c r="I19" s="420"/>
      <c r="J19" s="421"/>
      <c r="K19" s="422"/>
      <c r="L19" s="415"/>
      <c r="M19" s="58">
        <f>F19*M119*(H19-H18)*L19*M116</f>
        <v>0</v>
      </c>
      <c r="N19" s="273"/>
    </row>
    <row r="20" spans="1:14" ht="20.100000000000001" customHeight="1" x14ac:dyDescent="0.25">
      <c r="A20" s="273"/>
      <c r="B20" s="365"/>
      <c r="C20" s="395" t="s">
        <v>511</v>
      </c>
      <c r="D20" s="394" t="s">
        <v>512</v>
      </c>
      <c r="E20" s="403" t="s">
        <v>513</v>
      </c>
      <c r="F20" s="423"/>
      <c r="G20" s="374"/>
      <c r="H20" s="418"/>
      <c r="I20" s="415"/>
      <c r="J20" s="424"/>
      <c r="K20" s="422"/>
      <c r="L20" s="415"/>
      <c r="M20" s="58">
        <f>I20*M120*L20*M116</f>
        <v>0</v>
      </c>
      <c r="N20" s="273"/>
    </row>
    <row r="21" spans="1:14" ht="20.100000000000001" customHeight="1" x14ac:dyDescent="0.25">
      <c r="A21" s="273"/>
      <c r="B21" s="365"/>
      <c r="C21" s="395" t="s">
        <v>511</v>
      </c>
      <c r="D21" s="394" t="s">
        <v>514</v>
      </c>
      <c r="E21" s="403" t="s">
        <v>513</v>
      </c>
      <c r="F21" s="425"/>
      <c r="G21" s="374"/>
      <c r="H21" s="422"/>
      <c r="I21" s="415"/>
      <c r="J21" s="424"/>
      <c r="K21" s="422"/>
      <c r="L21" s="415"/>
      <c r="M21" s="58">
        <f>I21*M121*L21*M116</f>
        <v>0</v>
      </c>
      <c r="N21" s="273"/>
    </row>
    <row r="22" spans="1:14" ht="20.100000000000001" customHeight="1" x14ac:dyDescent="0.25">
      <c r="A22" s="273"/>
      <c r="B22" s="365"/>
      <c r="C22" s="395" t="s">
        <v>511</v>
      </c>
      <c r="D22" s="394" t="s">
        <v>515</v>
      </c>
      <c r="E22" s="403" t="s">
        <v>513</v>
      </c>
      <c r="F22" s="425"/>
      <c r="G22" s="374"/>
      <c r="H22" s="422"/>
      <c r="I22" s="415"/>
      <c r="J22" s="424"/>
      <c r="K22" s="422"/>
      <c r="L22" s="415"/>
      <c r="M22" s="58">
        <f>I22*M122*L22*M116</f>
        <v>0</v>
      </c>
      <c r="N22" s="273"/>
    </row>
    <row r="23" spans="1:14" ht="20.100000000000001" customHeight="1" x14ac:dyDescent="0.25">
      <c r="A23" s="273"/>
      <c r="B23" s="365"/>
      <c r="C23" s="395" t="s">
        <v>511</v>
      </c>
      <c r="D23" s="395" t="s">
        <v>516</v>
      </c>
      <c r="E23" s="403" t="s">
        <v>513</v>
      </c>
      <c r="F23" s="425"/>
      <c r="G23" s="374"/>
      <c r="H23" s="422"/>
      <c r="I23" s="415"/>
      <c r="J23" s="424"/>
      <c r="K23" s="422"/>
      <c r="L23" s="415"/>
      <c r="M23" s="58">
        <f>I23*M123*L23*M116</f>
        <v>0</v>
      </c>
      <c r="N23" s="273"/>
    </row>
    <row r="24" spans="1:14" ht="20.100000000000001" customHeight="1" x14ac:dyDescent="0.25">
      <c r="A24" s="273"/>
      <c r="B24" s="365"/>
      <c r="C24" s="395" t="s">
        <v>511</v>
      </c>
      <c r="D24" s="395" t="s">
        <v>517</v>
      </c>
      <c r="E24" s="403" t="s">
        <v>513</v>
      </c>
      <c r="F24" s="425"/>
      <c r="G24" s="374"/>
      <c r="H24" s="422"/>
      <c r="I24" s="415"/>
      <c r="J24" s="424"/>
      <c r="K24" s="422"/>
      <c r="L24" s="415"/>
      <c r="M24" s="58">
        <f>I24*M124*L24*M116</f>
        <v>0</v>
      </c>
      <c r="N24" s="273"/>
    </row>
    <row r="25" spans="1:14" ht="20.100000000000001" customHeight="1" x14ac:dyDescent="0.25">
      <c r="A25" s="273"/>
      <c r="B25" s="365"/>
      <c r="C25" s="395" t="s">
        <v>511</v>
      </c>
      <c r="D25" s="394" t="s">
        <v>518</v>
      </c>
      <c r="E25" s="403" t="s">
        <v>513</v>
      </c>
      <c r="F25" s="425"/>
      <c r="G25" s="374"/>
      <c r="H25" s="422"/>
      <c r="I25" s="415"/>
      <c r="J25" s="420"/>
      <c r="K25" s="426"/>
      <c r="L25" s="415"/>
      <c r="M25" s="58">
        <f>I25*M125*L25*M116</f>
        <v>0</v>
      </c>
      <c r="N25" s="273"/>
    </row>
    <row r="26" spans="1:14" ht="20.100000000000001" customHeight="1" x14ac:dyDescent="0.25">
      <c r="A26" s="273"/>
      <c r="B26" s="365"/>
      <c r="C26" s="395" t="s">
        <v>519</v>
      </c>
      <c r="D26" s="394" t="s">
        <v>520</v>
      </c>
      <c r="E26" s="404" t="s">
        <v>521</v>
      </c>
      <c r="F26" s="425"/>
      <c r="G26" s="427"/>
      <c r="H26" s="421"/>
      <c r="I26" s="428"/>
      <c r="J26" s="415"/>
      <c r="K26" s="415"/>
      <c r="L26" s="415"/>
      <c r="M26" s="58">
        <f>(J26+(K26*0.2))*M126*L26*M116</f>
        <v>0</v>
      </c>
      <c r="N26" s="273"/>
    </row>
    <row r="27" spans="1:14" ht="20.100000000000001" customHeight="1" x14ac:dyDescent="0.25">
      <c r="A27" s="273"/>
      <c r="B27" s="365"/>
      <c r="C27" s="595" t="s">
        <v>522</v>
      </c>
      <c r="D27" s="595"/>
      <c r="E27" s="595"/>
      <c r="F27" s="595"/>
      <c r="G27" s="595"/>
      <c r="H27" s="595"/>
      <c r="I27" s="595"/>
      <c r="J27" s="595"/>
      <c r="K27" s="595"/>
      <c r="L27" s="595"/>
      <c r="M27" s="595"/>
      <c r="N27" s="273"/>
    </row>
    <row r="28" spans="1:14" ht="20.100000000000001" customHeight="1" x14ac:dyDescent="0.25">
      <c r="A28" s="273"/>
      <c r="B28" s="365"/>
      <c r="C28" s="399" t="s">
        <v>92</v>
      </c>
      <c r="D28" s="399" t="s">
        <v>496</v>
      </c>
      <c r="E28" s="399" t="s">
        <v>94</v>
      </c>
      <c r="F28" s="400" t="s">
        <v>497</v>
      </c>
      <c r="G28" s="400" t="s">
        <v>498</v>
      </c>
      <c r="H28" s="400" t="s">
        <v>499</v>
      </c>
      <c r="I28" s="405" t="s">
        <v>500</v>
      </c>
      <c r="J28" s="405" t="s">
        <v>501</v>
      </c>
      <c r="K28" s="405" t="s">
        <v>502</v>
      </c>
      <c r="L28" s="400" t="s">
        <v>503</v>
      </c>
      <c r="M28" s="400" t="s">
        <v>504</v>
      </c>
      <c r="N28" s="273"/>
    </row>
    <row r="29" spans="1:14" ht="20.100000000000001" customHeight="1" x14ac:dyDescent="0.25">
      <c r="A29" s="273"/>
      <c r="B29" s="365"/>
      <c r="C29" s="395" t="s">
        <v>505</v>
      </c>
      <c r="D29" s="394" t="s">
        <v>506</v>
      </c>
      <c r="E29" s="403" t="s">
        <v>507</v>
      </c>
      <c r="F29" s="419"/>
      <c r="G29" s="414"/>
      <c r="H29" s="416"/>
      <c r="I29" s="429"/>
      <c r="J29" s="417"/>
      <c r="K29" s="418"/>
      <c r="L29" s="415"/>
      <c r="M29" s="58">
        <f>(G29*M127)*L29*M116</f>
        <v>0</v>
      </c>
      <c r="N29" s="273"/>
    </row>
    <row r="30" spans="1:14" ht="20.100000000000001" customHeight="1" x14ac:dyDescent="0.25">
      <c r="A30" s="273"/>
      <c r="B30" s="365"/>
      <c r="C30" s="395" t="s">
        <v>511</v>
      </c>
      <c r="D30" s="394" t="s">
        <v>514</v>
      </c>
      <c r="E30" s="403" t="s">
        <v>513</v>
      </c>
      <c r="F30" s="425"/>
      <c r="G30" s="430"/>
      <c r="H30" s="422"/>
      <c r="I30" s="415"/>
      <c r="J30" s="424"/>
      <c r="K30" s="422"/>
      <c r="L30" s="415"/>
      <c r="M30" s="58">
        <f>I30*M128*L30*M116</f>
        <v>0</v>
      </c>
      <c r="N30" s="273"/>
    </row>
    <row r="31" spans="1:14" ht="20.100000000000001" customHeight="1" x14ac:dyDescent="0.25">
      <c r="A31" s="273"/>
      <c r="B31" s="365"/>
      <c r="C31" s="395" t="s">
        <v>511</v>
      </c>
      <c r="D31" s="394" t="s">
        <v>515</v>
      </c>
      <c r="E31" s="403" t="s">
        <v>513</v>
      </c>
      <c r="F31" s="425"/>
      <c r="G31" s="374"/>
      <c r="H31" s="422"/>
      <c r="I31" s="415"/>
      <c r="J31" s="424"/>
      <c r="K31" s="422"/>
      <c r="L31" s="415"/>
      <c r="M31" s="58">
        <f>I31*M129*L31*M116</f>
        <v>0</v>
      </c>
      <c r="N31" s="273"/>
    </row>
    <row r="32" spans="1:14" ht="20.100000000000001" customHeight="1" x14ac:dyDescent="0.25">
      <c r="A32" s="273"/>
      <c r="B32" s="365"/>
      <c r="C32" s="395" t="s">
        <v>511</v>
      </c>
      <c r="D32" s="395" t="s">
        <v>516</v>
      </c>
      <c r="E32" s="403" t="s">
        <v>513</v>
      </c>
      <c r="F32" s="425"/>
      <c r="G32" s="374"/>
      <c r="H32" s="422"/>
      <c r="I32" s="415"/>
      <c r="J32" s="424"/>
      <c r="K32" s="422"/>
      <c r="L32" s="415"/>
      <c r="M32" s="58">
        <f>I32*M130*L32*M116</f>
        <v>0</v>
      </c>
      <c r="N32" s="273"/>
    </row>
    <row r="33" spans="1:14" ht="20.100000000000001" customHeight="1" x14ac:dyDescent="0.25">
      <c r="A33" s="273"/>
      <c r="B33" s="365"/>
      <c r="C33" s="395" t="s">
        <v>511</v>
      </c>
      <c r="D33" s="395" t="s">
        <v>517</v>
      </c>
      <c r="E33" s="403" t="s">
        <v>513</v>
      </c>
      <c r="F33" s="425"/>
      <c r="G33" s="374"/>
      <c r="H33" s="422"/>
      <c r="I33" s="415"/>
      <c r="J33" s="424"/>
      <c r="K33" s="422"/>
      <c r="L33" s="415"/>
      <c r="M33" s="58">
        <f>I33*M131*L33*M116</f>
        <v>0</v>
      </c>
      <c r="N33" s="273"/>
    </row>
    <row r="34" spans="1:14" ht="20.100000000000001" customHeight="1" x14ac:dyDescent="0.25">
      <c r="A34" s="273"/>
      <c r="B34" s="365"/>
      <c r="C34" s="395" t="s">
        <v>511</v>
      </c>
      <c r="D34" s="394" t="s">
        <v>518</v>
      </c>
      <c r="E34" s="403" t="s">
        <v>513</v>
      </c>
      <c r="F34" s="425"/>
      <c r="G34" s="374"/>
      <c r="H34" s="422"/>
      <c r="I34" s="415"/>
      <c r="J34" s="420"/>
      <c r="K34" s="426"/>
      <c r="L34" s="415"/>
      <c r="M34" s="58">
        <f>I34*M132*L34*M116</f>
        <v>0</v>
      </c>
      <c r="N34" s="273"/>
    </row>
    <row r="35" spans="1:14" ht="20.100000000000001" customHeight="1" x14ac:dyDescent="0.25">
      <c r="A35" s="273"/>
      <c r="B35" s="365"/>
      <c r="C35" s="395" t="s">
        <v>519</v>
      </c>
      <c r="D35" s="394" t="s">
        <v>520</v>
      </c>
      <c r="E35" s="404" t="s">
        <v>521</v>
      </c>
      <c r="F35" s="458"/>
      <c r="G35" s="427"/>
      <c r="H35" s="459"/>
      <c r="I35" s="428"/>
      <c r="J35" s="415"/>
      <c r="K35" s="415"/>
      <c r="L35" s="415"/>
      <c r="M35" s="58">
        <f>(J35+(K35*0.2))*M133*L35*M116</f>
        <v>0</v>
      </c>
      <c r="N35" s="273"/>
    </row>
    <row r="36" spans="1:14" ht="20.100000000000001" customHeight="1" x14ac:dyDescent="0.25">
      <c r="A36" s="273"/>
      <c r="B36" s="365"/>
      <c r="C36" s="268"/>
      <c r="D36" s="269"/>
      <c r="E36" s="406"/>
      <c r="F36" s="402"/>
      <c r="G36" s="407"/>
      <c r="H36" s="408"/>
      <c r="I36" s="408"/>
      <c r="J36" s="408"/>
      <c r="K36" s="408"/>
      <c r="L36" s="408"/>
      <c r="M36" s="409"/>
      <c r="N36" s="273"/>
    </row>
    <row r="37" spans="1:14" ht="20.100000000000001" customHeight="1" x14ac:dyDescent="0.25">
      <c r="A37" s="273"/>
      <c r="B37" s="365"/>
      <c r="C37" s="451" t="s">
        <v>523</v>
      </c>
      <c r="D37" s="597"/>
      <c r="E37" s="597"/>
      <c r="F37" s="597"/>
      <c r="G37" s="597"/>
      <c r="H37" s="597"/>
      <c r="I37" s="456"/>
      <c r="J37" s="456"/>
      <c r="K37" s="456"/>
      <c r="L37" s="456"/>
      <c r="M37" s="457"/>
      <c r="N37" s="273"/>
    </row>
    <row r="38" spans="1:14" ht="20.100000000000001" customHeight="1" x14ac:dyDescent="0.25">
      <c r="A38" s="273"/>
      <c r="B38" s="365"/>
      <c r="C38" s="594" t="s">
        <v>495</v>
      </c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273"/>
    </row>
    <row r="39" spans="1:14" ht="20.100000000000001" customHeight="1" x14ac:dyDescent="0.25">
      <c r="A39" s="273"/>
      <c r="B39" s="365"/>
      <c r="C39" s="399" t="s">
        <v>92</v>
      </c>
      <c r="D39" s="399" t="s">
        <v>496</v>
      </c>
      <c r="E39" s="399" t="s">
        <v>94</v>
      </c>
      <c r="F39" s="400" t="s">
        <v>497</v>
      </c>
      <c r="G39" s="400" t="s">
        <v>498</v>
      </c>
      <c r="H39" s="400" t="s">
        <v>499</v>
      </c>
      <c r="I39" s="405" t="s">
        <v>500</v>
      </c>
      <c r="J39" s="405" t="s">
        <v>501</v>
      </c>
      <c r="K39" s="405" t="s">
        <v>502</v>
      </c>
      <c r="L39" s="400" t="s">
        <v>503</v>
      </c>
      <c r="M39" s="400" t="s">
        <v>504</v>
      </c>
      <c r="N39" s="273"/>
    </row>
    <row r="40" spans="1:14" ht="20.100000000000001" customHeight="1" x14ac:dyDescent="0.25">
      <c r="A40" s="273"/>
      <c r="B40" s="365"/>
      <c r="C40" s="395" t="s">
        <v>505</v>
      </c>
      <c r="D40" s="394" t="s">
        <v>506</v>
      </c>
      <c r="E40" s="403" t="s">
        <v>507</v>
      </c>
      <c r="F40" s="455"/>
      <c r="G40" s="414"/>
      <c r="H40" s="415"/>
      <c r="I40" s="416"/>
      <c r="J40" s="417"/>
      <c r="K40" s="418"/>
      <c r="L40" s="415"/>
      <c r="M40" s="58">
        <f>(G40*M118)*L40*M116</f>
        <v>0</v>
      </c>
      <c r="N40" s="273"/>
    </row>
    <row r="41" spans="1:14" ht="20.100000000000001" customHeight="1" x14ac:dyDescent="0.25">
      <c r="A41" s="273"/>
      <c r="B41" s="365"/>
      <c r="C41" s="395" t="s">
        <v>508</v>
      </c>
      <c r="D41" s="394" t="s">
        <v>509</v>
      </c>
      <c r="E41" s="403" t="s">
        <v>510</v>
      </c>
      <c r="F41" s="414"/>
      <c r="G41" s="419"/>
      <c r="H41" s="415"/>
      <c r="I41" s="420"/>
      <c r="J41" s="421"/>
      <c r="K41" s="422"/>
      <c r="L41" s="415"/>
      <c r="M41" s="58">
        <f>F41*M119*(H41-H40)*L41*M116</f>
        <v>0</v>
      </c>
      <c r="N41" s="273"/>
    </row>
    <row r="42" spans="1:14" ht="20.100000000000001" customHeight="1" x14ac:dyDescent="0.25">
      <c r="A42" s="273"/>
      <c r="B42" s="365"/>
      <c r="C42" s="395" t="s">
        <v>511</v>
      </c>
      <c r="D42" s="394" t="s">
        <v>512</v>
      </c>
      <c r="E42" s="403" t="s">
        <v>513</v>
      </c>
      <c r="F42" s="423"/>
      <c r="G42" s="374"/>
      <c r="H42" s="418"/>
      <c r="I42" s="415"/>
      <c r="J42" s="424"/>
      <c r="K42" s="422"/>
      <c r="L42" s="415"/>
      <c r="M42" s="58">
        <f>I42*M120*L42*M116</f>
        <v>0</v>
      </c>
      <c r="N42" s="273"/>
    </row>
    <row r="43" spans="1:14" ht="20.100000000000001" customHeight="1" x14ac:dyDescent="0.25">
      <c r="A43" s="273"/>
      <c r="B43" s="365"/>
      <c r="C43" s="395" t="s">
        <v>511</v>
      </c>
      <c r="D43" s="394" t="s">
        <v>514</v>
      </c>
      <c r="E43" s="403" t="s">
        <v>513</v>
      </c>
      <c r="F43" s="425"/>
      <c r="G43" s="374"/>
      <c r="H43" s="422"/>
      <c r="I43" s="415"/>
      <c r="J43" s="424"/>
      <c r="K43" s="422"/>
      <c r="L43" s="415"/>
      <c r="M43" s="58">
        <f>I43*M121*L43*M116</f>
        <v>0</v>
      </c>
      <c r="N43" s="273"/>
    </row>
    <row r="44" spans="1:14" ht="20.100000000000001" customHeight="1" x14ac:dyDescent="0.25">
      <c r="A44" s="273"/>
      <c r="B44" s="365"/>
      <c r="C44" s="395" t="s">
        <v>511</v>
      </c>
      <c r="D44" s="394" t="s">
        <v>515</v>
      </c>
      <c r="E44" s="403" t="s">
        <v>513</v>
      </c>
      <c r="F44" s="425"/>
      <c r="G44" s="374"/>
      <c r="H44" s="422"/>
      <c r="I44" s="415"/>
      <c r="J44" s="424"/>
      <c r="K44" s="422"/>
      <c r="L44" s="415"/>
      <c r="M44" s="58">
        <f>I44*M122*L44*M116</f>
        <v>0</v>
      </c>
      <c r="N44" s="273"/>
    </row>
    <row r="45" spans="1:14" ht="20.100000000000001" customHeight="1" x14ac:dyDescent="0.25">
      <c r="A45" s="273"/>
      <c r="B45" s="365"/>
      <c r="C45" s="395" t="s">
        <v>511</v>
      </c>
      <c r="D45" s="395" t="s">
        <v>516</v>
      </c>
      <c r="E45" s="403" t="s">
        <v>513</v>
      </c>
      <c r="F45" s="425"/>
      <c r="G45" s="374"/>
      <c r="H45" s="422"/>
      <c r="I45" s="415"/>
      <c r="J45" s="424"/>
      <c r="K45" s="422"/>
      <c r="L45" s="415"/>
      <c r="M45" s="58">
        <f>I45*M123*L45*M116</f>
        <v>0</v>
      </c>
      <c r="N45" s="273"/>
    </row>
    <row r="46" spans="1:14" ht="20.100000000000001" customHeight="1" x14ac:dyDescent="0.25">
      <c r="A46" s="273"/>
      <c r="B46" s="365"/>
      <c r="C46" s="395" t="s">
        <v>511</v>
      </c>
      <c r="D46" s="395" t="s">
        <v>517</v>
      </c>
      <c r="E46" s="403" t="s">
        <v>513</v>
      </c>
      <c r="F46" s="425"/>
      <c r="G46" s="374"/>
      <c r="H46" s="422"/>
      <c r="I46" s="415"/>
      <c r="J46" s="424"/>
      <c r="K46" s="422"/>
      <c r="L46" s="415"/>
      <c r="M46" s="58">
        <f>I46*M124*L46*M116</f>
        <v>0</v>
      </c>
      <c r="N46" s="273"/>
    </row>
    <row r="47" spans="1:14" ht="20.100000000000001" customHeight="1" x14ac:dyDescent="0.25">
      <c r="A47" s="273"/>
      <c r="B47" s="365"/>
      <c r="C47" s="395" t="s">
        <v>511</v>
      </c>
      <c r="D47" s="394" t="s">
        <v>518</v>
      </c>
      <c r="E47" s="403" t="s">
        <v>513</v>
      </c>
      <c r="F47" s="425"/>
      <c r="G47" s="374"/>
      <c r="H47" s="422"/>
      <c r="I47" s="415"/>
      <c r="J47" s="420"/>
      <c r="K47" s="426"/>
      <c r="L47" s="415"/>
      <c r="M47" s="58">
        <f>I47*M125*L47*M116</f>
        <v>0</v>
      </c>
      <c r="N47" s="273"/>
    </row>
    <row r="48" spans="1:14" ht="20.100000000000001" customHeight="1" x14ac:dyDescent="0.25">
      <c r="A48" s="273"/>
      <c r="B48" s="365"/>
      <c r="C48" s="395" t="s">
        <v>519</v>
      </c>
      <c r="D48" s="394" t="s">
        <v>520</v>
      </c>
      <c r="E48" s="404" t="s">
        <v>521</v>
      </c>
      <c r="F48" s="425"/>
      <c r="G48" s="427"/>
      <c r="H48" s="421"/>
      <c r="I48" s="428"/>
      <c r="J48" s="415"/>
      <c r="K48" s="415"/>
      <c r="L48" s="415"/>
      <c r="M48" s="58">
        <f>(J48+(K48*0.2))*M126*L48*M116</f>
        <v>0</v>
      </c>
      <c r="N48" s="273"/>
    </row>
    <row r="49" spans="1:14" ht="20.100000000000001" customHeight="1" x14ac:dyDescent="0.25">
      <c r="A49" s="273"/>
      <c r="B49" s="365"/>
      <c r="C49" s="595" t="s">
        <v>522</v>
      </c>
      <c r="D49" s="595"/>
      <c r="E49" s="595"/>
      <c r="F49" s="595"/>
      <c r="G49" s="595"/>
      <c r="H49" s="595"/>
      <c r="I49" s="595"/>
      <c r="J49" s="595"/>
      <c r="K49" s="595"/>
      <c r="L49" s="595"/>
      <c r="M49" s="595"/>
      <c r="N49" s="273"/>
    </row>
    <row r="50" spans="1:14" ht="20.100000000000001" customHeight="1" x14ac:dyDescent="0.25">
      <c r="A50" s="273"/>
      <c r="B50" s="365"/>
      <c r="C50" s="399" t="s">
        <v>92</v>
      </c>
      <c r="D50" s="399" t="s">
        <v>496</v>
      </c>
      <c r="E50" s="399" t="s">
        <v>94</v>
      </c>
      <c r="F50" s="400" t="s">
        <v>497</v>
      </c>
      <c r="G50" s="400" t="s">
        <v>498</v>
      </c>
      <c r="H50" s="400" t="s">
        <v>499</v>
      </c>
      <c r="I50" s="405" t="s">
        <v>500</v>
      </c>
      <c r="J50" s="405" t="s">
        <v>501</v>
      </c>
      <c r="K50" s="405" t="s">
        <v>502</v>
      </c>
      <c r="L50" s="400" t="s">
        <v>503</v>
      </c>
      <c r="M50" s="400" t="s">
        <v>504</v>
      </c>
      <c r="N50" s="273"/>
    </row>
    <row r="51" spans="1:14" ht="20.100000000000001" customHeight="1" x14ac:dyDescent="0.25">
      <c r="A51" s="273"/>
      <c r="B51" s="365"/>
      <c r="C51" s="395" t="s">
        <v>505</v>
      </c>
      <c r="D51" s="394" t="s">
        <v>506</v>
      </c>
      <c r="E51" s="403" t="s">
        <v>507</v>
      </c>
      <c r="F51" s="419"/>
      <c r="G51" s="414"/>
      <c r="H51" s="416"/>
      <c r="I51" s="429"/>
      <c r="J51" s="417"/>
      <c r="K51" s="418"/>
      <c r="L51" s="415"/>
      <c r="M51" s="58">
        <f>(G51*M127)*L51*M116</f>
        <v>0</v>
      </c>
      <c r="N51" s="273"/>
    </row>
    <row r="52" spans="1:14" ht="20.100000000000001" customHeight="1" x14ac:dyDescent="0.25">
      <c r="A52" s="273"/>
      <c r="B52" s="365"/>
      <c r="C52" s="395" t="s">
        <v>511</v>
      </c>
      <c r="D52" s="394" t="s">
        <v>514</v>
      </c>
      <c r="E52" s="403" t="s">
        <v>513</v>
      </c>
      <c r="F52" s="425"/>
      <c r="G52" s="430"/>
      <c r="H52" s="422"/>
      <c r="I52" s="415"/>
      <c r="J52" s="424"/>
      <c r="K52" s="422"/>
      <c r="L52" s="415"/>
      <c r="M52" s="58">
        <f>I52*M128*L52*M116</f>
        <v>0</v>
      </c>
      <c r="N52" s="273"/>
    </row>
    <row r="53" spans="1:14" ht="20.100000000000001" customHeight="1" x14ac:dyDescent="0.25">
      <c r="A53" s="273"/>
      <c r="B53" s="365"/>
      <c r="C53" s="395" t="s">
        <v>511</v>
      </c>
      <c r="D53" s="394" t="s">
        <v>515</v>
      </c>
      <c r="E53" s="403" t="s">
        <v>513</v>
      </c>
      <c r="F53" s="425"/>
      <c r="G53" s="374"/>
      <c r="H53" s="422"/>
      <c r="I53" s="415"/>
      <c r="J53" s="424"/>
      <c r="K53" s="422"/>
      <c r="L53" s="415"/>
      <c r="M53" s="58">
        <f>I53*M129*L53*M116</f>
        <v>0</v>
      </c>
      <c r="N53" s="273"/>
    </row>
    <row r="54" spans="1:14" ht="20.100000000000001" customHeight="1" x14ac:dyDescent="0.25">
      <c r="A54" s="273"/>
      <c r="B54" s="365"/>
      <c r="C54" s="395" t="s">
        <v>511</v>
      </c>
      <c r="D54" s="395" t="s">
        <v>516</v>
      </c>
      <c r="E54" s="403" t="s">
        <v>513</v>
      </c>
      <c r="F54" s="425"/>
      <c r="G54" s="374"/>
      <c r="H54" s="422"/>
      <c r="I54" s="415"/>
      <c r="J54" s="424"/>
      <c r="K54" s="422"/>
      <c r="L54" s="415"/>
      <c r="M54" s="58">
        <f>I54*M130*L54*M116</f>
        <v>0</v>
      </c>
      <c r="N54" s="273"/>
    </row>
    <row r="55" spans="1:14" ht="20.100000000000001" customHeight="1" x14ac:dyDescent="0.25">
      <c r="A55" s="273"/>
      <c r="B55" s="365"/>
      <c r="C55" s="395" t="s">
        <v>511</v>
      </c>
      <c r="D55" s="395" t="s">
        <v>517</v>
      </c>
      <c r="E55" s="403" t="s">
        <v>513</v>
      </c>
      <c r="F55" s="425"/>
      <c r="G55" s="374"/>
      <c r="H55" s="422"/>
      <c r="I55" s="415"/>
      <c r="J55" s="424"/>
      <c r="K55" s="422"/>
      <c r="L55" s="415"/>
      <c r="M55" s="58">
        <f>I55*M131*L55*M116</f>
        <v>0</v>
      </c>
      <c r="N55" s="273"/>
    </row>
    <row r="56" spans="1:14" ht="20.100000000000001" customHeight="1" x14ac:dyDescent="0.25">
      <c r="A56" s="273"/>
      <c r="B56" s="365"/>
      <c r="C56" s="395" t="s">
        <v>511</v>
      </c>
      <c r="D56" s="394" t="s">
        <v>518</v>
      </c>
      <c r="E56" s="403" t="s">
        <v>513</v>
      </c>
      <c r="F56" s="425"/>
      <c r="G56" s="374"/>
      <c r="H56" s="422"/>
      <c r="I56" s="415"/>
      <c r="J56" s="420"/>
      <c r="K56" s="426"/>
      <c r="L56" s="415"/>
      <c r="M56" s="58">
        <f>I56*M132*L56*M116</f>
        <v>0</v>
      </c>
      <c r="N56" s="273"/>
    </row>
    <row r="57" spans="1:14" ht="20.100000000000001" customHeight="1" x14ac:dyDescent="0.25">
      <c r="A57" s="273"/>
      <c r="B57" s="365"/>
      <c r="C57" s="395" t="s">
        <v>519</v>
      </c>
      <c r="D57" s="394" t="s">
        <v>520</v>
      </c>
      <c r="E57" s="404" t="s">
        <v>521</v>
      </c>
      <c r="F57" s="458"/>
      <c r="G57" s="427"/>
      <c r="H57" s="459"/>
      <c r="I57" s="428"/>
      <c r="J57" s="415"/>
      <c r="K57" s="415"/>
      <c r="L57" s="415"/>
      <c r="M57" s="58">
        <f>(J57+(K57*0.2))*M133*L57*M116</f>
        <v>0</v>
      </c>
      <c r="N57" s="273"/>
    </row>
    <row r="58" spans="1:14" ht="20.100000000000001" customHeight="1" x14ac:dyDescent="0.25">
      <c r="A58" s="273"/>
      <c r="B58" s="365"/>
      <c r="C58" s="268"/>
      <c r="D58" s="269"/>
      <c r="E58" s="406"/>
      <c r="F58" s="402"/>
      <c r="G58" s="407"/>
      <c r="H58" s="408"/>
      <c r="I58" s="408"/>
      <c r="J58" s="408"/>
      <c r="K58" s="408"/>
      <c r="L58" s="408"/>
      <c r="M58" s="409"/>
      <c r="N58" s="273"/>
    </row>
    <row r="59" spans="1:14" ht="20.100000000000001" customHeight="1" x14ac:dyDescent="0.25">
      <c r="A59" s="273"/>
      <c r="B59" s="365"/>
      <c r="C59" s="451" t="s">
        <v>524</v>
      </c>
      <c r="D59" s="597"/>
      <c r="E59" s="597"/>
      <c r="F59" s="597"/>
      <c r="G59" s="597"/>
      <c r="H59" s="597"/>
      <c r="I59" s="456"/>
      <c r="J59" s="456"/>
      <c r="K59" s="456"/>
      <c r="L59" s="456"/>
      <c r="M59" s="457"/>
      <c r="N59" s="273"/>
    </row>
    <row r="60" spans="1:14" ht="20.100000000000001" customHeight="1" x14ac:dyDescent="0.25">
      <c r="A60" s="273"/>
      <c r="B60" s="365"/>
      <c r="C60" s="594" t="s">
        <v>495</v>
      </c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273"/>
    </row>
    <row r="61" spans="1:14" ht="20.100000000000001" customHeight="1" x14ac:dyDescent="0.25">
      <c r="A61" s="273"/>
      <c r="B61" s="365"/>
      <c r="C61" s="399" t="s">
        <v>92</v>
      </c>
      <c r="D61" s="399" t="s">
        <v>496</v>
      </c>
      <c r="E61" s="399" t="s">
        <v>94</v>
      </c>
      <c r="F61" s="400" t="s">
        <v>497</v>
      </c>
      <c r="G61" s="400" t="s">
        <v>498</v>
      </c>
      <c r="H61" s="400" t="s">
        <v>499</v>
      </c>
      <c r="I61" s="405" t="s">
        <v>500</v>
      </c>
      <c r="J61" s="405" t="s">
        <v>501</v>
      </c>
      <c r="K61" s="405" t="s">
        <v>502</v>
      </c>
      <c r="L61" s="400" t="s">
        <v>503</v>
      </c>
      <c r="M61" s="400" t="s">
        <v>504</v>
      </c>
      <c r="N61" s="273"/>
    </row>
    <row r="62" spans="1:14" ht="20.100000000000001" customHeight="1" x14ac:dyDescent="0.25">
      <c r="A62" s="273"/>
      <c r="B62" s="365"/>
      <c r="C62" s="395" t="s">
        <v>505</v>
      </c>
      <c r="D62" s="394" t="s">
        <v>506</v>
      </c>
      <c r="E62" s="403" t="s">
        <v>507</v>
      </c>
      <c r="F62" s="455"/>
      <c r="G62" s="414"/>
      <c r="H62" s="415"/>
      <c r="I62" s="416"/>
      <c r="J62" s="417"/>
      <c r="K62" s="418"/>
      <c r="L62" s="415"/>
      <c r="M62" s="58">
        <f>(G62*M118)*L62*M116</f>
        <v>0</v>
      </c>
      <c r="N62" s="273"/>
    </row>
    <row r="63" spans="1:14" ht="20.100000000000001" customHeight="1" x14ac:dyDescent="0.25">
      <c r="A63" s="273"/>
      <c r="B63" s="365"/>
      <c r="C63" s="395" t="s">
        <v>508</v>
      </c>
      <c r="D63" s="394" t="s">
        <v>509</v>
      </c>
      <c r="E63" s="403" t="s">
        <v>510</v>
      </c>
      <c r="F63" s="414"/>
      <c r="G63" s="419"/>
      <c r="H63" s="415"/>
      <c r="I63" s="420"/>
      <c r="J63" s="421"/>
      <c r="K63" s="422"/>
      <c r="L63" s="415"/>
      <c r="M63" s="58">
        <f>F63*M119*(H63-H62)*L63*M116</f>
        <v>0</v>
      </c>
      <c r="N63" s="273"/>
    </row>
    <row r="64" spans="1:14" ht="20.100000000000001" customHeight="1" x14ac:dyDescent="0.25">
      <c r="A64" s="273"/>
      <c r="B64" s="365"/>
      <c r="C64" s="395" t="s">
        <v>511</v>
      </c>
      <c r="D64" s="394" t="s">
        <v>512</v>
      </c>
      <c r="E64" s="403" t="s">
        <v>513</v>
      </c>
      <c r="F64" s="423"/>
      <c r="G64" s="374"/>
      <c r="H64" s="418"/>
      <c r="I64" s="415"/>
      <c r="J64" s="424"/>
      <c r="K64" s="422"/>
      <c r="L64" s="415"/>
      <c r="M64" s="58">
        <f>I64*M120*L64*M116</f>
        <v>0</v>
      </c>
      <c r="N64" s="273"/>
    </row>
    <row r="65" spans="1:14" ht="20.100000000000001" customHeight="1" x14ac:dyDescent="0.25">
      <c r="A65" s="273"/>
      <c r="B65" s="365"/>
      <c r="C65" s="395" t="s">
        <v>511</v>
      </c>
      <c r="D65" s="394" t="s">
        <v>514</v>
      </c>
      <c r="E65" s="403" t="s">
        <v>513</v>
      </c>
      <c r="F65" s="425"/>
      <c r="G65" s="374"/>
      <c r="H65" s="422"/>
      <c r="I65" s="415"/>
      <c r="J65" s="424"/>
      <c r="K65" s="422"/>
      <c r="L65" s="415"/>
      <c r="M65" s="58">
        <f>I65*M121*L65*M116</f>
        <v>0</v>
      </c>
      <c r="N65" s="273"/>
    </row>
    <row r="66" spans="1:14" ht="20.100000000000001" customHeight="1" x14ac:dyDescent="0.25">
      <c r="A66" s="273"/>
      <c r="B66" s="365"/>
      <c r="C66" s="395" t="s">
        <v>511</v>
      </c>
      <c r="D66" s="394" t="s">
        <v>515</v>
      </c>
      <c r="E66" s="403" t="s">
        <v>513</v>
      </c>
      <c r="F66" s="425"/>
      <c r="G66" s="374"/>
      <c r="H66" s="422"/>
      <c r="I66" s="415"/>
      <c r="J66" s="424"/>
      <c r="K66" s="422"/>
      <c r="L66" s="415"/>
      <c r="M66" s="58">
        <f>I66*M122*L66*M116</f>
        <v>0</v>
      </c>
      <c r="N66" s="273"/>
    </row>
    <row r="67" spans="1:14" ht="20.100000000000001" customHeight="1" x14ac:dyDescent="0.25">
      <c r="A67" s="273"/>
      <c r="B67" s="365"/>
      <c r="C67" s="395" t="s">
        <v>511</v>
      </c>
      <c r="D67" s="395" t="s">
        <v>516</v>
      </c>
      <c r="E67" s="403" t="s">
        <v>513</v>
      </c>
      <c r="F67" s="425"/>
      <c r="G67" s="374"/>
      <c r="H67" s="422"/>
      <c r="I67" s="415"/>
      <c r="J67" s="424"/>
      <c r="K67" s="422"/>
      <c r="L67" s="415"/>
      <c r="M67" s="58">
        <f>I67*M123*L67*M116</f>
        <v>0</v>
      </c>
      <c r="N67" s="273"/>
    </row>
    <row r="68" spans="1:14" ht="20.100000000000001" customHeight="1" x14ac:dyDescent="0.25">
      <c r="A68" s="273"/>
      <c r="B68" s="365"/>
      <c r="C68" s="395" t="s">
        <v>511</v>
      </c>
      <c r="D68" s="395" t="s">
        <v>517</v>
      </c>
      <c r="E68" s="403" t="s">
        <v>513</v>
      </c>
      <c r="F68" s="425"/>
      <c r="G68" s="374"/>
      <c r="H68" s="422"/>
      <c r="I68" s="415"/>
      <c r="J68" s="424"/>
      <c r="K68" s="422"/>
      <c r="L68" s="415"/>
      <c r="M68" s="58">
        <f>I68*M124*L68*M116</f>
        <v>0</v>
      </c>
      <c r="N68" s="273"/>
    </row>
    <row r="69" spans="1:14" ht="20.100000000000001" customHeight="1" x14ac:dyDescent="0.25">
      <c r="A69" s="273"/>
      <c r="B69" s="365"/>
      <c r="C69" s="395" t="s">
        <v>511</v>
      </c>
      <c r="D69" s="394" t="s">
        <v>518</v>
      </c>
      <c r="E69" s="403" t="s">
        <v>513</v>
      </c>
      <c r="F69" s="425"/>
      <c r="G69" s="374"/>
      <c r="H69" s="422"/>
      <c r="I69" s="415"/>
      <c r="J69" s="420"/>
      <c r="K69" s="426"/>
      <c r="L69" s="415"/>
      <c r="M69" s="58">
        <f>I69*M125*L69*M116</f>
        <v>0</v>
      </c>
      <c r="N69" s="273"/>
    </row>
    <row r="70" spans="1:14" ht="20.100000000000001" customHeight="1" x14ac:dyDescent="0.25">
      <c r="A70" s="273"/>
      <c r="B70" s="365"/>
      <c r="C70" s="395" t="s">
        <v>519</v>
      </c>
      <c r="D70" s="394" t="s">
        <v>520</v>
      </c>
      <c r="E70" s="404" t="s">
        <v>521</v>
      </c>
      <c r="F70" s="425"/>
      <c r="G70" s="427"/>
      <c r="H70" s="421"/>
      <c r="I70" s="428"/>
      <c r="J70" s="415"/>
      <c r="K70" s="415"/>
      <c r="L70" s="415"/>
      <c r="M70" s="58">
        <f>(J70+(K70*0.2))*M126*L70*M116</f>
        <v>0</v>
      </c>
      <c r="N70" s="273"/>
    </row>
    <row r="71" spans="1:14" ht="20.100000000000001" customHeight="1" x14ac:dyDescent="0.25">
      <c r="A71" s="273"/>
      <c r="B71" s="365"/>
      <c r="C71" s="595" t="s">
        <v>522</v>
      </c>
      <c r="D71" s="595"/>
      <c r="E71" s="595"/>
      <c r="F71" s="595"/>
      <c r="G71" s="595"/>
      <c r="H71" s="595"/>
      <c r="I71" s="595"/>
      <c r="J71" s="595"/>
      <c r="K71" s="595"/>
      <c r="L71" s="595"/>
      <c r="M71" s="595"/>
      <c r="N71" s="273"/>
    </row>
    <row r="72" spans="1:14" ht="20.100000000000001" customHeight="1" x14ac:dyDescent="0.25">
      <c r="A72" s="273"/>
      <c r="B72" s="365"/>
      <c r="C72" s="399" t="s">
        <v>92</v>
      </c>
      <c r="D72" s="399" t="s">
        <v>496</v>
      </c>
      <c r="E72" s="399" t="s">
        <v>94</v>
      </c>
      <c r="F72" s="400" t="s">
        <v>497</v>
      </c>
      <c r="G72" s="400" t="s">
        <v>498</v>
      </c>
      <c r="H72" s="400" t="s">
        <v>499</v>
      </c>
      <c r="I72" s="405" t="s">
        <v>500</v>
      </c>
      <c r="J72" s="405" t="s">
        <v>501</v>
      </c>
      <c r="K72" s="405" t="s">
        <v>502</v>
      </c>
      <c r="L72" s="400" t="s">
        <v>503</v>
      </c>
      <c r="M72" s="400" t="s">
        <v>504</v>
      </c>
      <c r="N72" s="273"/>
    </row>
    <row r="73" spans="1:14" ht="20.100000000000001" customHeight="1" x14ac:dyDescent="0.25">
      <c r="A73" s="273"/>
      <c r="B73" s="365"/>
      <c r="C73" s="395" t="s">
        <v>505</v>
      </c>
      <c r="D73" s="394" t="s">
        <v>506</v>
      </c>
      <c r="E73" s="403" t="s">
        <v>507</v>
      </c>
      <c r="F73" s="419"/>
      <c r="G73" s="414"/>
      <c r="H73" s="416"/>
      <c r="I73" s="429"/>
      <c r="J73" s="417"/>
      <c r="K73" s="418"/>
      <c r="L73" s="415"/>
      <c r="M73" s="58">
        <f>(G73*M127)*L73*M116</f>
        <v>0</v>
      </c>
      <c r="N73" s="273"/>
    </row>
    <row r="74" spans="1:14" ht="20.100000000000001" customHeight="1" x14ac:dyDescent="0.25">
      <c r="A74" s="273"/>
      <c r="B74" s="365"/>
      <c r="C74" s="395" t="s">
        <v>511</v>
      </c>
      <c r="D74" s="394" t="s">
        <v>514</v>
      </c>
      <c r="E74" s="403" t="s">
        <v>513</v>
      </c>
      <c r="F74" s="425"/>
      <c r="G74" s="430"/>
      <c r="H74" s="422"/>
      <c r="I74" s="415"/>
      <c r="J74" s="424"/>
      <c r="K74" s="422"/>
      <c r="L74" s="415"/>
      <c r="M74" s="58">
        <f>I74*M128*L74*M116</f>
        <v>0</v>
      </c>
      <c r="N74" s="273"/>
    </row>
    <row r="75" spans="1:14" ht="20.100000000000001" customHeight="1" x14ac:dyDescent="0.25">
      <c r="A75" s="273"/>
      <c r="B75" s="365"/>
      <c r="C75" s="395" t="s">
        <v>511</v>
      </c>
      <c r="D75" s="394" t="s">
        <v>515</v>
      </c>
      <c r="E75" s="403" t="s">
        <v>513</v>
      </c>
      <c r="F75" s="425"/>
      <c r="G75" s="374"/>
      <c r="H75" s="422"/>
      <c r="I75" s="415"/>
      <c r="J75" s="424"/>
      <c r="K75" s="422"/>
      <c r="L75" s="415"/>
      <c r="M75" s="58">
        <f>I75*M129*L75*M116</f>
        <v>0</v>
      </c>
      <c r="N75" s="273"/>
    </row>
    <row r="76" spans="1:14" ht="20.100000000000001" customHeight="1" x14ac:dyDescent="0.25">
      <c r="A76" s="273"/>
      <c r="B76" s="365"/>
      <c r="C76" s="395" t="s">
        <v>511</v>
      </c>
      <c r="D76" s="395" t="s">
        <v>516</v>
      </c>
      <c r="E76" s="403" t="s">
        <v>513</v>
      </c>
      <c r="F76" s="425"/>
      <c r="G76" s="374"/>
      <c r="H76" s="422"/>
      <c r="I76" s="415"/>
      <c r="J76" s="424"/>
      <c r="K76" s="422"/>
      <c r="L76" s="415"/>
      <c r="M76" s="58">
        <f>I76*M130*L76*M116</f>
        <v>0</v>
      </c>
      <c r="N76" s="273"/>
    </row>
    <row r="77" spans="1:14" ht="20.100000000000001" customHeight="1" x14ac:dyDescent="0.25">
      <c r="A77" s="273"/>
      <c r="B77" s="365"/>
      <c r="C77" s="395" t="s">
        <v>511</v>
      </c>
      <c r="D77" s="395" t="s">
        <v>517</v>
      </c>
      <c r="E77" s="403" t="s">
        <v>513</v>
      </c>
      <c r="F77" s="425"/>
      <c r="G77" s="374"/>
      <c r="H77" s="422"/>
      <c r="I77" s="415"/>
      <c r="J77" s="424"/>
      <c r="K77" s="422"/>
      <c r="L77" s="415"/>
      <c r="M77" s="58">
        <f>I77*M131*L77*M116</f>
        <v>0</v>
      </c>
      <c r="N77" s="273"/>
    </row>
    <row r="78" spans="1:14" ht="20.100000000000001" customHeight="1" x14ac:dyDescent="0.25">
      <c r="A78" s="273"/>
      <c r="B78" s="365"/>
      <c r="C78" s="395" t="s">
        <v>511</v>
      </c>
      <c r="D78" s="394" t="s">
        <v>518</v>
      </c>
      <c r="E78" s="403" t="s">
        <v>513</v>
      </c>
      <c r="F78" s="425"/>
      <c r="G78" s="374"/>
      <c r="H78" s="422"/>
      <c r="I78" s="415"/>
      <c r="J78" s="420"/>
      <c r="K78" s="426"/>
      <c r="L78" s="415"/>
      <c r="M78" s="58">
        <f>I78*M132*L78*M116</f>
        <v>0</v>
      </c>
      <c r="N78" s="273"/>
    </row>
    <row r="79" spans="1:14" ht="20.100000000000001" customHeight="1" x14ac:dyDescent="0.25">
      <c r="A79" s="273"/>
      <c r="B79" s="365"/>
      <c r="C79" s="395" t="s">
        <v>519</v>
      </c>
      <c r="D79" s="394" t="s">
        <v>520</v>
      </c>
      <c r="E79" s="404" t="s">
        <v>521</v>
      </c>
      <c r="F79" s="458"/>
      <c r="G79" s="427"/>
      <c r="H79" s="459"/>
      <c r="I79" s="428"/>
      <c r="J79" s="415"/>
      <c r="K79" s="415"/>
      <c r="L79" s="415"/>
      <c r="M79" s="58">
        <f>(J79+(K79*0.2))*M133*L79*M116</f>
        <v>0</v>
      </c>
      <c r="N79" s="273"/>
    </row>
    <row r="80" spans="1:14" ht="20.100000000000001" customHeight="1" x14ac:dyDescent="0.25">
      <c r="A80" s="273"/>
      <c r="B80" s="365"/>
      <c r="C80" s="268"/>
      <c r="D80" s="269"/>
      <c r="E80" s="406"/>
      <c r="F80" s="402"/>
      <c r="G80" s="407"/>
      <c r="H80" s="408"/>
      <c r="I80" s="408"/>
      <c r="J80" s="408"/>
      <c r="K80" s="408"/>
      <c r="L80" s="408"/>
      <c r="M80" s="409"/>
      <c r="N80" s="273"/>
    </row>
    <row r="81" spans="1:14" ht="20.100000000000001" customHeight="1" x14ac:dyDescent="0.25">
      <c r="A81" s="273"/>
      <c r="B81" s="365"/>
      <c r="C81" s="451" t="s">
        <v>525</v>
      </c>
      <c r="D81" s="597"/>
      <c r="E81" s="597"/>
      <c r="F81" s="597"/>
      <c r="G81" s="597"/>
      <c r="H81" s="597"/>
      <c r="I81" s="456"/>
      <c r="J81" s="456"/>
      <c r="K81" s="456"/>
      <c r="L81" s="456"/>
      <c r="M81" s="457"/>
      <c r="N81" s="273"/>
    </row>
    <row r="82" spans="1:14" ht="20.100000000000001" customHeight="1" x14ac:dyDescent="0.25">
      <c r="A82" s="273"/>
      <c r="B82" s="365"/>
      <c r="C82" s="594" t="s">
        <v>495</v>
      </c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273"/>
    </row>
    <row r="83" spans="1:14" ht="20.100000000000001" customHeight="1" x14ac:dyDescent="0.25">
      <c r="A83" s="273"/>
      <c r="B83" s="365"/>
      <c r="C83" s="399" t="s">
        <v>92</v>
      </c>
      <c r="D83" s="399" t="s">
        <v>496</v>
      </c>
      <c r="E83" s="399" t="s">
        <v>94</v>
      </c>
      <c r="F83" s="400" t="s">
        <v>497</v>
      </c>
      <c r="G83" s="400" t="s">
        <v>498</v>
      </c>
      <c r="H83" s="400" t="s">
        <v>499</v>
      </c>
      <c r="I83" s="405" t="s">
        <v>500</v>
      </c>
      <c r="J83" s="405" t="s">
        <v>501</v>
      </c>
      <c r="K83" s="405" t="s">
        <v>502</v>
      </c>
      <c r="L83" s="400" t="s">
        <v>503</v>
      </c>
      <c r="M83" s="400" t="s">
        <v>504</v>
      </c>
      <c r="N83" s="273"/>
    </row>
    <row r="84" spans="1:14" ht="20.100000000000001" customHeight="1" x14ac:dyDescent="0.25">
      <c r="A84" s="273"/>
      <c r="B84" s="365"/>
      <c r="C84" s="395" t="s">
        <v>505</v>
      </c>
      <c r="D84" s="394" t="s">
        <v>506</v>
      </c>
      <c r="E84" s="403" t="s">
        <v>507</v>
      </c>
      <c r="F84" s="455"/>
      <c r="G84" s="414"/>
      <c r="H84" s="415"/>
      <c r="I84" s="416"/>
      <c r="J84" s="417"/>
      <c r="K84" s="418"/>
      <c r="L84" s="415"/>
      <c r="M84" s="58">
        <f>(G84*M118)*L84*M116</f>
        <v>0</v>
      </c>
      <c r="N84" s="273"/>
    </row>
    <row r="85" spans="1:14" ht="20.100000000000001" customHeight="1" x14ac:dyDescent="0.25">
      <c r="A85" s="273"/>
      <c r="B85" s="365"/>
      <c r="C85" s="395" t="s">
        <v>508</v>
      </c>
      <c r="D85" s="394" t="s">
        <v>509</v>
      </c>
      <c r="E85" s="403" t="s">
        <v>510</v>
      </c>
      <c r="F85" s="414"/>
      <c r="G85" s="419"/>
      <c r="H85" s="415"/>
      <c r="I85" s="420"/>
      <c r="J85" s="421"/>
      <c r="K85" s="422"/>
      <c r="L85" s="415"/>
      <c r="M85" s="58">
        <f>F85*M119*(H85-H84)*L85*M116</f>
        <v>0</v>
      </c>
      <c r="N85" s="273"/>
    </row>
    <row r="86" spans="1:14" ht="20.100000000000001" customHeight="1" x14ac:dyDescent="0.25">
      <c r="A86" s="273"/>
      <c r="B86" s="365"/>
      <c r="C86" s="395" t="s">
        <v>511</v>
      </c>
      <c r="D86" s="394" t="s">
        <v>512</v>
      </c>
      <c r="E86" s="403" t="s">
        <v>513</v>
      </c>
      <c r="F86" s="423"/>
      <c r="G86" s="374"/>
      <c r="H86" s="418"/>
      <c r="I86" s="415"/>
      <c r="J86" s="424"/>
      <c r="K86" s="422"/>
      <c r="L86" s="415"/>
      <c r="M86" s="58">
        <f>I86*M120*L86*M116</f>
        <v>0</v>
      </c>
      <c r="N86" s="273"/>
    </row>
    <row r="87" spans="1:14" ht="20.100000000000001" customHeight="1" x14ac:dyDescent="0.25">
      <c r="A87" s="273"/>
      <c r="B87" s="365"/>
      <c r="C87" s="395" t="s">
        <v>511</v>
      </c>
      <c r="D87" s="394" t="s">
        <v>514</v>
      </c>
      <c r="E87" s="403" t="s">
        <v>513</v>
      </c>
      <c r="F87" s="425"/>
      <c r="G87" s="374"/>
      <c r="H87" s="422"/>
      <c r="I87" s="415"/>
      <c r="J87" s="424"/>
      <c r="K87" s="422"/>
      <c r="L87" s="415"/>
      <c r="M87" s="58">
        <f>I87*M121*L87*M116</f>
        <v>0</v>
      </c>
      <c r="N87" s="273"/>
    </row>
    <row r="88" spans="1:14" ht="20.100000000000001" customHeight="1" x14ac:dyDescent="0.25">
      <c r="A88" s="273"/>
      <c r="B88" s="365"/>
      <c r="C88" s="395" t="s">
        <v>511</v>
      </c>
      <c r="D88" s="394" t="s">
        <v>515</v>
      </c>
      <c r="E88" s="403" t="s">
        <v>513</v>
      </c>
      <c r="F88" s="425"/>
      <c r="G88" s="374"/>
      <c r="H88" s="422"/>
      <c r="I88" s="415"/>
      <c r="J88" s="424"/>
      <c r="K88" s="422"/>
      <c r="L88" s="415"/>
      <c r="M88" s="58">
        <f>I88*M122*L88*M116</f>
        <v>0</v>
      </c>
      <c r="N88" s="273"/>
    </row>
    <row r="89" spans="1:14" ht="20.100000000000001" customHeight="1" x14ac:dyDescent="0.25">
      <c r="A89" s="273"/>
      <c r="B89" s="365"/>
      <c r="C89" s="395" t="s">
        <v>511</v>
      </c>
      <c r="D89" s="395" t="s">
        <v>516</v>
      </c>
      <c r="E89" s="403" t="s">
        <v>513</v>
      </c>
      <c r="F89" s="425"/>
      <c r="G89" s="374"/>
      <c r="H89" s="422"/>
      <c r="I89" s="415"/>
      <c r="J89" s="424"/>
      <c r="K89" s="422"/>
      <c r="L89" s="415"/>
      <c r="M89" s="58">
        <f>I89*M123*L89*M116</f>
        <v>0</v>
      </c>
      <c r="N89" s="273"/>
    </row>
    <row r="90" spans="1:14" ht="20.100000000000001" customHeight="1" x14ac:dyDescent="0.25">
      <c r="A90" s="273"/>
      <c r="B90" s="365"/>
      <c r="C90" s="395" t="s">
        <v>511</v>
      </c>
      <c r="D90" s="395" t="s">
        <v>517</v>
      </c>
      <c r="E90" s="403" t="s">
        <v>513</v>
      </c>
      <c r="F90" s="425"/>
      <c r="G90" s="374"/>
      <c r="H90" s="422"/>
      <c r="I90" s="415"/>
      <c r="J90" s="424"/>
      <c r="K90" s="422"/>
      <c r="L90" s="415"/>
      <c r="M90" s="58">
        <f>I90*M124*L90*M116</f>
        <v>0</v>
      </c>
      <c r="N90" s="273"/>
    </row>
    <row r="91" spans="1:14" ht="20.100000000000001" customHeight="1" x14ac:dyDescent="0.25">
      <c r="A91" s="273"/>
      <c r="B91" s="365"/>
      <c r="C91" s="395" t="s">
        <v>511</v>
      </c>
      <c r="D91" s="394" t="s">
        <v>518</v>
      </c>
      <c r="E91" s="403" t="s">
        <v>513</v>
      </c>
      <c r="F91" s="425"/>
      <c r="G91" s="374"/>
      <c r="H91" s="422"/>
      <c r="I91" s="415"/>
      <c r="J91" s="420"/>
      <c r="K91" s="426"/>
      <c r="L91" s="415"/>
      <c r="M91" s="58">
        <f>I91*M125*L91*M116</f>
        <v>0</v>
      </c>
      <c r="N91" s="273"/>
    </row>
    <row r="92" spans="1:14" ht="20.100000000000001" customHeight="1" x14ac:dyDescent="0.25">
      <c r="A92" s="273"/>
      <c r="B92" s="365"/>
      <c r="C92" s="395" t="s">
        <v>519</v>
      </c>
      <c r="D92" s="394" t="s">
        <v>520</v>
      </c>
      <c r="E92" s="404" t="s">
        <v>521</v>
      </c>
      <c r="F92" s="425"/>
      <c r="G92" s="427"/>
      <c r="H92" s="421"/>
      <c r="I92" s="428"/>
      <c r="J92" s="415"/>
      <c r="K92" s="415"/>
      <c r="L92" s="415"/>
      <c r="M92" s="58">
        <f>(J92+(K92*0.2))*M126*L92*M116</f>
        <v>0</v>
      </c>
      <c r="N92" s="273"/>
    </row>
    <row r="93" spans="1:14" ht="20.100000000000001" customHeight="1" x14ac:dyDescent="0.25">
      <c r="A93" s="273"/>
      <c r="B93" s="365"/>
      <c r="C93" s="595" t="s">
        <v>522</v>
      </c>
      <c r="D93" s="595"/>
      <c r="E93" s="595"/>
      <c r="F93" s="595"/>
      <c r="G93" s="595"/>
      <c r="H93" s="595"/>
      <c r="I93" s="595"/>
      <c r="J93" s="595"/>
      <c r="K93" s="595"/>
      <c r="L93" s="595"/>
      <c r="M93" s="595"/>
      <c r="N93" s="273"/>
    </row>
    <row r="94" spans="1:14" ht="20.100000000000001" customHeight="1" x14ac:dyDescent="0.25">
      <c r="A94" s="273"/>
      <c r="B94" s="365"/>
      <c r="C94" s="399" t="s">
        <v>92</v>
      </c>
      <c r="D94" s="399" t="s">
        <v>496</v>
      </c>
      <c r="E94" s="399" t="s">
        <v>94</v>
      </c>
      <c r="F94" s="400" t="s">
        <v>497</v>
      </c>
      <c r="G94" s="400" t="s">
        <v>498</v>
      </c>
      <c r="H94" s="400" t="s">
        <v>499</v>
      </c>
      <c r="I94" s="405" t="s">
        <v>500</v>
      </c>
      <c r="J94" s="405" t="s">
        <v>501</v>
      </c>
      <c r="K94" s="405" t="s">
        <v>502</v>
      </c>
      <c r="L94" s="400" t="s">
        <v>503</v>
      </c>
      <c r="M94" s="400" t="s">
        <v>504</v>
      </c>
      <c r="N94" s="273"/>
    </row>
    <row r="95" spans="1:14" ht="20.100000000000001" customHeight="1" x14ac:dyDescent="0.25">
      <c r="A95" s="273"/>
      <c r="B95" s="365"/>
      <c r="C95" s="395" t="s">
        <v>505</v>
      </c>
      <c r="D95" s="394" t="s">
        <v>506</v>
      </c>
      <c r="E95" s="403" t="s">
        <v>507</v>
      </c>
      <c r="F95" s="419"/>
      <c r="G95" s="414"/>
      <c r="H95" s="416"/>
      <c r="I95" s="429"/>
      <c r="J95" s="417"/>
      <c r="K95" s="418"/>
      <c r="L95" s="415"/>
      <c r="M95" s="58">
        <f>(G95*M127)*L95*M116</f>
        <v>0</v>
      </c>
      <c r="N95" s="273"/>
    </row>
    <row r="96" spans="1:14" ht="20.100000000000001" customHeight="1" x14ac:dyDescent="0.25">
      <c r="A96" s="273"/>
      <c r="B96" s="365"/>
      <c r="C96" s="395" t="s">
        <v>511</v>
      </c>
      <c r="D96" s="394" t="s">
        <v>514</v>
      </c>
      <c r="E96" s="403" t="s">
        <v>513</v>
      </c>
      <c r="F96" s="425"/>
      <c r="G96" s="430"/>
      <c r="H96" s="422"/>
      <c r="I96" s="415"/>
      <c r="J96" s="424"/>
      <c r="K96" s="422"/>
      <c r="L96" s="415"/>
      <c r="M96" s="58">
        <f>I96*M128*L96*M116</f>
        <v>0</v>
      </c>
      <c r="N96" s="273"/>
    </row>
    <row r="97" spans="1:15" ht="20.100000000000001" customHeight="1" x14ac:dyDescent="0.25">
      <c r="A97" s="273"/>
      <c r="B97" s="365"/>
      <c r="C97" s="395" t="s">
        <v>511</v>
      </c>
      <c r="D97" s="394" t="s">
        <v>515</v>
      </c>
      <c r="E97" s="403" t="s">
        <v>513</v>
      </c>
      <c r="F97" s="425"/>
      <c r="G97" s="374"/>
      <c r="H97" s="422"/>
      <c r="I97" s="415"/>
      <c r="J97" s="424"/>
      <c r="K97" s="422"/>
      <c r="L97" s="415"/>
      <c r="M97" s="58">
        <f>I97*M129*L97*M116</f>
        <v>0</v>
      </c>
      <c r="N97" s="273"/>
    </row>
    <row r="98" spans="1:15" ht="20.100000000000001" customHeight="1" x14ac:dyDescent="0.25">
      <c r="A98" s="273"/>
      <c r="B98" s="365"/>
      <c r="C98" s="395" t="s">
        <v>511</v>
      </c>
      <c r="D98" s="395" t="s">
        <v>516</v>
      </c>
      <c r="E98" s="403" t="s">
        <v>513</v>
      </c>
      <c r="F98" s="425"/>
      <c r="G98" s="374"/>
      <c r="H98" s="422"/>
      <c r="I98" s="415"/>
      <c r="J98" s="424"/>
      <c r="K98" s="422"/>
      <c r="L98" s="415"/>
      <c r="M98" s="58">
        <f>I98*M130*L98*M116</f>
        <v>0</v>
      </c>
      <c r="N98" s="273"/>
    </row>
    <row r="99" spans="1:15" ht="20.100000000000001" customHeight="1" x14ac:dyDescent="0.25">
      <c r="A99" s="273"/>
      <c r="B99" s="365"/>
      <c r="C99" s="395" t="s">
        <v>511</v>
      </c>
      <c r="D99" s="395" t="s">
        <v>517</v>
      </c>
      <c r="E99" s="403" t="s">
        <v>513</v>
      </c>
      <c r="F99" s="425"/>
      <c r="G99" s="374"/>
      <c r="H99" s="422"/>
      <c r="I99" s="415"/>
      <c r="J99" s="424"/>
      <c r="K99" s="422"/>
      <c r="L99" s="415"/>
      <c r="M99" s="58">
        <f>I99*M131*L99*M116</f>
        <v>0</v>
      </c>
      <c r="N99" s="273"/>
    </row>
    <row r="100" spans="1:15" ht="20.100000000000001" customHeight="1" x14ac:dyDescent="0.25">
      <c r="A100" s="273"/>
      <c r="B100" s="365"/>
      <c r="C100" s="395" t="s">
        <v>511</v>
      </c>
      <c r="D100" s="394" t="s">
        <v>518</v>
      </c>
      <c r="E100" s="403" t="s">
        <v>513</v>
      </c>
      <c r="F100" s="425"/>
      <c r="G100" s="374"/>
      <c r="H100" s="422"/>
      <c r="I100" s="415"/>
      <c r="J100" s="420"/>
      <c r="K100" s="426"/>
      <c r="L100" s="415"/>
      <c r="M100" s="58">
        <f>I100*M132*L100*M116</f>
        <v>0</v>
      </c>
      <c r="N100" s="273"/>
    </row>
    <row r="101" spans="1:15" ht="20.100000000000001" customHeight="1" x14ac:dyDescent="0.25">
      <c r="A101" s="273"/>
      <c r="B101" s="365"/>
      <c r="C101" s="395" t="s">
        <v>519</v>
      </c>
      <c r="D101" s="394" t="s">
        <v>520</v>
      </c>
      <c r="E101" s="404" t="s">
        <v>521</v>
      </c>
      <c r="F101" s="458"/>
      <c r="G101" s="427"/>
      <c r="H101" s="459"/>
      <c r="I101" s="428"/>
      <c r="J101" s="415"/>
      <c r="K101" s="415"/>
      <c r="L101" s="415"/>
      <c r="M101" s="58">
        <f>(J101+(K101*0.2))*M133*L101*M116</f>
        <v>0</v>
      </c>
      <c r="N101" s="273"/>
    </row>
    <row r="102" spans="1:15" x14ac:dyDescent="0.25">
      <c r="A102" s="273"/>
      <c r="B102" s="286"/>
      <c r="C102" s="269"/>
      <c r="D102" s="269"/>
      <c r="E102" s="270"/>
      <c r="F102" s="270"/>
      <c r="G102" s="273"/>
      <c r="H102" s="273"/>
      <c r="I102" s="273"/>
      <c r="J102" s="273"/>
      <c r="K102" s="273"/>
      <c r="L102" s="273"/>
      <c r="M102" s="273"/>
      <c r="N102" s="273"/>
    </row>
    <row r="103" spans="1:15" s="151" customFormat="1" ht="24.95" customHeight="1" x14ac:dyDescent="0.25">
      <c r="A103" s="291"/>
      <c r="B103" s="145" t="s">
        <v>356</v>
      </c>
      <c r="C103" s="149"/>
      <c r="D103" s="150"/>
      <c r="E103" s="157"/>
      <c r="F103" s="149"/>
      <c r="G103" s="149"/>
      <c r="H103" s="149"/>
      <c r="I103" s="149"/>
      <c r="J103" s="149"/>
      <c r="K103" s="149"/>
      <c r="L103" s="149"/>
      <c r="M103" s="149"/>
      <c r="N103" s="291"/>
    </row>
    <row r="104" spans="1:15" ht="15.75" customHeight="1" x14ac:dyDescent="0.25">
      <c r="A104" s="273"/>
      <c r="B104" s="362"/>
      <c r="C104" s="275"/>
      <c r="D104" s="273"/>
      <c r="E104" s="274"/>
      <c r="F104" s="273"/>
      <c r="G104" s="273"/>
      <c r="H104" s="273"/>
      <c r="I104" s="273"/>
      <c r="J104" s="273"/>
      <c r="K104" s="273"/>
      <c r="L104" s="273"/>
      <c r="M104" s="273"/>
      <c r="N104" s="273"/>
    </row>
    <row r="105" spans="1:15" s="152" customFormat="1" ht="45" customHeight="1" x14ac:dyDescent="0.25">
      <c r="A105" s="323"/>
      <c r="B105" s="346" t="s">
        <v>357</v>
      </c>
      <c r="C105" s="276" t="s">
        <v>91</v>
      </c>
      <c r="D105" s="397"/>
      <c r="E105" s="397"/>
      <c r="F105" s="300"/>
      <c r="G105" s="300"/>
      <c r="H105" s="300"/>
      <c r="I105" s="300"/>
      <c r="J105" s="300"/>
      <c r="K105" s="300"/>
      <c r="L105" s="598" t="str">
        <f>IF(SUM(M106:M107)&gt;0,SUM(M106:M107),"Para simular a taxa aplicável, deve preencher os campos do formulário de acordo com a ocupação")</f>
        <v>Para simular a taxa aplicável, deve preencher os campos do formulário de acordo com a ocupação</v>
      </c>
      <c r="M105" s="598"/>
      <c r="N105" s="323"/>
    </row>
    <row r="106" spans="1:15" s="152" customFormat="1" ht="30" customHeight="1" x14ac:dyDescent="0.25">
      <c r="A106" s="323"/>
      <c r="B106" s="383" t="s">
        <v>360</v>
      </c>
      <c r="C106" s="587" t="s">
        <v>526</v>
      </c>
      <c r="D106" s="587"/>
      <c r="E106" s="304"/>
      <c r="F106" s="304" t="s">
        <v>527</v>
      </c>
      <c r="G106" s="303"/>
      <c r="H106" s="303"/>
      <c r="I106" s="303"/>
      <c r="J106" s="303"/>
      <c r="K106" s="303"/>
      <c r="L106" s="303"/>
      <c r="M106" s="303" t="str">
        <f>IF(M11="","Preencher 1",IF(M11="Prorrogação do prazo do título de ocupação da via pública","Não se aplica",IF(OR(M11="Aprovação do plano e emissão de licença de ocupação da via pública",M11="Alteração à licença de ocupação da via pública"),'SIMULADOR_TAXAS ADMINISTRATIVAS'!D88,"")))</f>
        <v>Preencher 1</v>
      </c>
      <c r="N106" s="323"/>
    </row>
    <row r="107" spans="1:15" s="154" customFormat="1" ht="15.95" customHeight="1" x14ac:dyDescent="0.25">
      <c r="A107" s="324"/>
      <c r="B107" s="383" t="s">
        <v>363</v>
      </c>
      <c r="C107" s="385" t="s">
        <v>528</v>
      </c>
      <c r="D107" s="304"/>
      <c r="E107" s="304"/>
      <c r="F107" s="304" t="s">
        <v>529</v>
      </c>
      <c r="G107" s="303"/>
      <c r="H107" s="303"/>
      <c r="I107" s="303"/>
      <c r="J107" s="303"/>
      <c r="K107" s="303"/>
      <c r="L107" s="303"/>
      <c r="M107" s="303" t="str">
        <f>IF(M11="","Preencher 1",IF(OR(M11="Aprovação do plano e emissão de licença de ocupação da via pública",M11="Alteração à licença de ocupação da via pública"),"Não se aplica",IF(M11="Prorrogação do prazo do título de ocupação da via pública",'SIMULADOR_TAXAS ADMINISTRATIVAS'!D90,"")))</f>
        <v>Preencher 1</v>
      </c>
      <c r="N107" s="324"/>
    </row>
    <row r="108" spans="1:15" s="154" customFormat="1" ht="15" x14ac:dyDescent="0.25">
      <c r="A108" s="324"/>
      <c r="B108" s="362"/>
      <c r="C108" s="298"/>
      <c r="D108" s="269"/>
      <c r="E108" s="303"/>
      <c r="F108" s="303"/>
      <c r="G108" s="303"/>
      <c r="H108" s="303"/>
      <c r="I108" s="303"/>
      <c r="J108" s="303"/>
      <c r="K108" s="303"/>
      <c r="L108" s="303"/>
      <c r="M108" s="303"/>
      <c r="N108" s="324"/>
    </row>
    <row r="109" spans="1:15" s="154" customFormat="1" ht="45" customHeight="1" x14ac:dyDescent="0.25">
      <c r="A109" s="324"/>
      <c r="B109" s="442" t="s">
        <v>357</v>
      </c>
      <c r="C109" s="295" t="s">
        <v>530</v>
      </c>
      <c r="D109" s="305"/>
      <c r="E109" s="443"/>
      <c r="F109" s="600" t="s">
        <v>531</v>
      </c>
      <c r="G109" s="600"/>
      <c r="H109" s="300"/>
      <c r="I109" s="300"/>
      <c r="J109" s="300"/>
      <c r="K109" s="300"/>
      <c r="L109" s="598" t="str">
        <f>IF(SUM(M18:M26,M29:M35,M40:M48,M51:M57,M62:M70,M73:M79,M84:M92,M95:M101)=0,"Para simular a taxa aplicável, deve preencher os campos do formulário de acordo com a ocupação",SUM(M18:M26,M29:M35,M40:M48,M51:M57,M62:M70,M73:M79,M84:M92,M95:M101))</f>
        <v>Para simular a taxa aplicável, deve preencher os campos do formulário de acordo com a ocupação</v>
      </c>
      <c r="M109" s="598"/>
      <c r="N109" s="323"/>
      <c r="O109" s="152"/>
    </row>
    <row r="110" spans="1:15" s="154" customFormat="1" ht="15.95" customHeight="1" x14ac:dyDescent="0.25">
      <c r="A110" s="324"/>
      <c r="B110" s="396"/>
      <c r="C110" s="276"/>
      <c r="D110" s="306"/>
      <c r="E110" s="398"/>
      <c r="F110" s="358"/>
      <c r="G110" s="358"/>
      <c r="H110" s="300"/>
      <c r="I110" s="300"/>
      <c r="J110" s="300"/>
      <c r="K110" s="300"/>
      <c r="L110" s="300"/>
      <c r="M110" s="300"/>
      <c r="N110" s="323"/>
      <c r="O110" s="152"/>
    </row>
    <row r="111" spans="1:15" s="154" customFormat="1" ht="45" customHeight="1" x14ac:dyDescent="0.25">
      <c r="A111" s="324"/>
      <c r="B111" s="410" t="s">
        <v>357</v>
      </c>
      <c r="C111" s="326" t="s">
        <v>469</v>
      </c>
      <c r="D111" s="411"/>
      <c r="E111" s="412"/>
      <c r="F111" s="413"/>
      <c r="G111" s="413"/>
      <c r="H111" s="312"/>
      <c r="I111" s="312"/>
      <c r="J111" s="312"/>
      <c r="K111" s="312"/>
      <c r="L111" s="599" t="str">
        <f>IF(OR(L105="Para simular a taxa aplicável, deve preencher os campos do formulário de acordo com a ocupação",L109="Para simular a taxa aplicável, deve preencher os campos do formulário de acordo com a ocupação"),"Para apurar valor, deve preencher os campos do formulário de acordo com a ocupação",IF(AND(L105="Não se aplica",L109="Não se aplica"),"Não se aplica",IF(SUM(L105,L109)&gt;0,SUM(L105,L109))))</f>
        <v>Para apurar valor, deve preencher os campos do formulário de acordo com a ocupação</v>
      </c>
      <c r="M111" s="599"/>
      <c r="N111" s="323"/>
      <c r="O111" s="152"/>
    </row>
    <row r="112" spans="1:15" ht="15.75" customHeight="1" x14ac:dyDescent="0.25">
      <c r="A112" s="273"/>
      <c r="B112" s="362"/>
      <c r="C112" s="275"/>
      <c r="D112" s="273"/>
      <c r="E112" s="274"/>
      <c r="F112" s="273"/>
      <c r="G112" s="273"/>
      <c r="H112" s="273"/>
      <c r="I112" s="273"/>
      <c r="J112" s="273"/>
      <c r="K112" s="273"/>
      <c r="L112" s="273"/>
      <c r="M112" s="273"/>
      <c r="N112" s="273"/>
    </row>
    <row r="113" spans="1:15" ht="24.95" customHeight="1" x14ac:dyDescent="0.25">
      <c r="A113" s="273"/>
      <c r="B113" s="145" t="s">
        <v>70</v>
      </c>
      <c r="C113" s="149"/>
      <c r="D113" s="150"/>
      <c r="E113" s="157"/>
      <c r="F113" s="149"/>
      <c r="G113" s="149"/>
      <c r="H113" s="149"/>
      <c r="I113" s="149"/>
      <c r="J113" s="149"/>
      <c r="K113" s="149"/>
      <c r="L113" s="149"/>
      <c r="M113" s="149"/>
      <c r="N113" s="291"/>
      <c r="O113" s="151"/>
    </row>
    <row r="114" spans="1:15" ht="15.75" customHeight="1" x14ac:dyDescent="0.25">
      <c r="A114" s="273"/>
      <c r="B114" s="272"/>
      <c r="C114" s="291"/>
      <c r="D114" s="292"/>
      <c r="E114" s="293"/>
      <c r="F114" s="291"/>
      <c r="G114" s="291"/>
      <c r="H114" s="291"/>
      <c r="I114" s="291"/>
      <c r="J114" s="291"/>
      <c r="K114" s="291"/>
      <c r="L114" s="291"/>
      <c r="M114" s="291"/>
      <c r="N114" s="291"/>
      <c r="O114" s="151"/>
    </row>
    <row r="115" spans="1:15" s="151" customFormat="1" ht="15.95" customHeight="1" x14ac:dyDescent="0.25">
      <c r="A115" s="291"/>
      <c r="B115" s="301" t="s">
        <v>381</v>
      </c>
      <c r="C115" s="304" t="s">
        <v>382</v>
      </c>
      <c r="D115" s="315"/>
      <c r="E115" s="291"/>
      <c r="F115" s="323"/>
      <c r="G115" s="323"/>
      <c r="H115" s="323"/>
      <c r="I115" s="323"/>
      <c r="J115" s="323"/>
      <c r="K115" s="323"/>
      <c r="L115" s="323"/>
      <c r="M115" s="316">
        <f>TABELAS_COEFICIENTES!B2</f>
        <v>94.08</v>
      </c>
      <c r="N115" s="323"/>
      <c r="O115" s="152"/>
    </row>
    <row r="116" spans="1:15" s="152" customFormat="1" ht="15.75" customHeight="1" x14ac:dyDescent="0.25">
      <c r="A116" s="323"/>
      <c r="B116" s="301" t="s">
        <v>532</v>
      </c>
      <c r="C116" s="304" t="s">
        <v>533</v>
      </c>
      <c r="D116" s="315"/>
      <c r="E116" s="323"/>
      <c r="F116" s="323"/>
      <c r="G116" s="323"/>
      <c r="H116" s="323"/>
      <c r="I116" s="323"/>
      <c r="J116" s="323"/>
      <c r="K116" s="323"/>
      <c r="L116" s="323"/>
      <c r="M116" s="316">
        <f>TABELAS_COEFICIENTES!B3</f>
        <v>13.07</v>
      </c>
      <c r="N116" s="323"/>
    </row>
    <row r="117" spans="1:15" s="152" customFormat="1" ht="15.75" customHeight="1" x14ac:dyDescent="0.25">
      <c r="A117" s="323"/>
      <c r="B117" s="301" t="s">
        <v>534</v>
      </c>
      <c r="C117" s="304" t="s">
        <v>535</v>
      </c>
      <c r="D117" s="315"/>
      <c r="E117" s="323"/>
      <c r="F117" s="323"/>
      <c r="G117" s="323"/>
      <c r="H117" s="323"/>
      <c r="I117" s="323"/>
      <c r="J117" s="323"/>
      <c r="K117" s="323"/>
      <c r="L117" s="323"/>
      <c r="M117" s="316"/>
      <c r="N117" s="323"/>
    </row>
    <row r="118" spans="1:15" s="152" customFormat="1" ht="15.75" customHeight="1" x14ac:dyDescent="0.25">
      <c r="A118" s="323"/>
      <c r="B118" s="301"/>
      <c r="C118" s="304"/>
      <c r="D118" s="320" t="s">
        <v>536</v>
      </c>
      <c r="E118" s="450" t="s">
        <v>506</v>
      </c>
      <c r="F118" s="323"/>
      <c r="G118" s="323"/>
      <c r="H118" s="323"/>
      <c r="I118" s="323"/>
      <c r="J118" s="323"/>
      <c r="K118" s="323"/>
      <c r="L118" s="323"/>
      <c r="M118" s="462">
        <f>TABELAS_COEFICIENTES!C11</f>
        <v>0.65</v>
      </c>
      <c r="N118" s="323"/>
    </row>
    <row r="119" spans="1:15" s="152" customFormat="1" ht="15.75" customHeight="1" x14ac:dyDescent="0.25">
      <c r="A119" s="323"/>
      <c r="B119" s="301"/>
      <c r="C119" s="304"/>
      <c r="D119" s="450"/>
      <c r="E119" s="450" t="s">
        <v>509</v>
      </c>
      <c r="F119" s="323"/>
      <c r="G119" s="323"/>
      <c r="H119" s="323"/>
      <c r="I119" s="323"/>
      <c r="J119" s="323"/>
      <c r="K119" s="323"/>
      <c r="L119" s="323"/>
      <c r="M119" s="462">
        <f>TABELAS_COEFICIENTES!C12</f>
        <v>0.2</v>
      </c>
      <c r="N119" s="323"/>
    </row>
    <row r="120" spans="1:15" s="152" customFormat="1" ht="15.75" customHeight="1" x14ac:dyDescent="0.25">
      <c r="A120" s="323"/>
      <c r="B120" s="301"/>
      <c r="C120" s="304"/>
      <c r="D120" s="450"/>
      <c r="E120" s="450" t="s">
        <v>512</v>
      </c>
      <c r="F120" s="323"/>
      <c r="G120" s="323"/>
      <c r="H120" s="323"/>
      <c r="I120" s="323"/>
      <c r="J120" s="323"/>
      <c r="K120" s="323"/>
      <c r="L120" s="323"/>
      <c r="M120" s="462">
        <f>TABELAS_COEFICIENTES!C13</f>
        <v>9</v>
      </c>
      <c r="N120" s="323"/>
    </row>
    <row r="121" spans="1:15" s="152" customFormat="1" ht="15.75" customHeight="1" x14ac:dyDescent="0.25">
      <c r="A121" s="323"/>
      <c r="B121" s="301"/>
      <c r="C121" s="304"/>
      <c r="D121" s="450"/>
      <c r="E121" s="450" t="s">
        <v>514</v>
      </c>
      <c r="F121" s="323"/>
      <c r="G121" s="323"/>
      <c r="H121" s="323"/>
      <c r="I121" s="323"/>
      <c r="J121" s="323"/>
      <c r="K121" s="323"/>
      <c r="L121" s="323"/>
      <c r="M121" s="462">
        <f>TABELAS_COEFICIENTES!C14</f>
        <v>9</v>
      </c>
      <c r="N121" s="323"/>
    </row>
    <row r="122" spans="1:15" s="152" customFormat="1" ht="15.75" customHeight="1" x14ac:dyDescent="0.25">
      <c r="A122" s="323"/>
      <c r="B122" s="301"/>
      <c r="C122" s="304"/>
      <c r="D122" s="450"/>
      <c r="E122" s="450" t="s">
        <v>515</v>
      </c>
      <c r="F122" s="323"/>
      <c r="G122" s="323"/>
      <c r="H122" s="323"/>
      <c r="I122" s="323"/>
      <c r="J122" s="323"/>
      <c r="K122" s="323"/>
      <c r="L122" s="323"/>
      <c r="M122" s="462">
        <f>TABELAS_COEFICIENTES!C15</f>
        <v>12</v>
      </c>
      <c r="N122" s="323"/>
    </row>
    <row r="123" spans="1:15" s="152" customFormat="1" ht="15.75" customHeight="1" x14ac:dyDescent="0.25">
      <c r="A123" s="323"/>
      <c r="B123" s="301"/>
      <c r="C123" s="304"/>
      <c r="D123" s="450"/>
      <c r="E123" s="450" t="s">
        <v>516</v>
      </c>
      <c r="F123" s="323"/>
      <c r="G123" s="323"/>
      <c r="H123" s="323"/>
      <c r="I123" s="323"/>
      <c r="J123" s="323"/>
      <c r="K123" s="323"/>
      <c r="L123" s="323"/>
      <c r="M123" s="462">
        <f>TABELAS_COEFICIENTES!C16</f>
        <v>9</v>
      </c>
      <c r="N123" s="323"/>
    </row>
    <row r="124" spans="1:15" s="152" customFormat="1" ht="15.75" customHeight="1" x14ac:dyDescent="0.25">
      <c r="A124" s="323"/>
      <c r="B124" s="301"/>
      <c r="C124" s="304"/>
      <c r="D124" s="450"/>
      <c r="E124" s="450" t="s">
        <v>517</v>
      </c>
      <c r="F124" s="323"/>
      <c r="G124" s="323"/>
      <c r="H124" s="323"/>
      <c r="I124" s="323"/>
      <c r="J124" s="323"/>
      <c r="K124" s="323"/>
      <c r="L124" s="323"/>
      <c r="M124" s="462">
        <f>TABELAS_COEFICIENTES!C17</f>
        <v>27</v>
      </c>
      <c r="N124" s="323"/>
    </row>
    <row r="125" spans="1:15" s="152" customFormat="1" ht="15.75" customHeight="1" x14ac:dyDescent="0.25">
      <c r="A125" s="323"/>
      <c r="B125" s="301"/>
      <c r="C125" s="304"/>
      <c r="D125" s="450"/>
      <c r="E125" s="450" t="s">
        <v>518</v>
      </c>
      <c r="F125" s="323"/>
      <c r="G125" s="323"/>
      <c r="H125" s="323"/>
      <c r="I125" s="323"/>
      <c r="J125" s="323"/>
      <c r="K125" s="323"/>
      <c r="L125" s="323"/>
      <c r="M125" s="462">
        <f>TABELAS_COEFICIENTES!C18</f>
        <v>18</v>
      </c>
      <c r="N125" s="323"/>
    </row>
    <row r="126" spans="1:15" s="152" customFormat="1" ht="15.75" customHeight="1" x14ac:dyDescent="0.25">
      <c r="A126" s="323"/>
      <c r="B126" s="301"/>
      <c r="C126" s="304"/>
      <c r="D126" s="450"/>
      <c r="E126" s="450" t="s">
        <v>520</v>
      </c>
      <c r="F126" s="323"/>
      <c r="G126" s="323"/>
      <c r="H126" s="323"/>
      <c r="I126" s="323"/>
      <c r="J126" s="323"/>
      <c r="K126" s="323"/>
      <c r="L126" s="323"/>
      <c r="M126" s="462">
        <f>TABELAS_COEFICIENTES!C20</f>
        <v>15</v>
      </c>
      <c r="N126" s="323"/>
    </row>
    <row r="127" spans="1:15" s="152" customFormat="1" ht="15.75" customHeight="1" x14ac:dyDescent="0.25">
      <c r="A127" s="323"/>
      <c r="B127" s="301"/>
      <c r="C127" s="304"/>
      <c r="D127" s="320" t="s">
        <v>537</v>
      </c>
      <c r="E127" s="450" t="s">
        <v>506</v>
      </c>
      <c r="F127" s="323"/>
      <c r="G127" s="323"/>
      <c r="H127" s="323"/>
      <c r="I127" s="323"/>
      <c r="J127" s="323"/>
      <c r="K127" s="323"/>
      <c r="L127" s="323"/>
      <c r="M127" s="462">
        <f>TABELAS_COEFICIENTES!D11</f>
        <v>0.7</v>
      </c>
      <c r="N127" s="323"/>
    </row>
    <row r="128" spans="1:15" s="152" customFormat="1" ht="15.75" customHeight="1" x14ac:dyDescent="0.25">
      <c r="A128" s="323"/>
      <c r="B128" s="301"/>
      <c r="C128" s="304"/>
      <c r="D128" s="315"/>
      <c r="E128" s="450" t="s">
        <v>514</v>
      </c>
      <c r="F128" s="323"/>
      <c r="G128" s="323"/>
      <c r="H128" s="323"/>
      <c r="I128" s="323"/>
      <c r="J128" s="323"/>
      <c r="K128" s="323"/>
      <c r="L128" s="323"/>
      <c r="M128" s="462">
        <f>TABELAS_COEFICIENTES!D14</f>
        <v>12</v>
      </c>
      <c r="N128" s="323"/>
    </row>
    <row r="129" spans="1:15" s="152" customFormat="1" ht="15.75" customHeight="1" x14ac:dyDescent="0.25">
      <c r="A129" s="323"/>
      <c r="B129" s="301"/>
      <c r="C129" s="304"/>
      <c r="D129" s="315"/>
      <c r="E129" s="450" t="s">
        <v>515</v>
      </c>
      <c r="F129" s="323"/>
      <c r="G129" s="323"/>
      <c r="H129" s="323"/>
      <c r="I129" s="323"/>
      <c r="J129" s="323"/>
      <c r="K129" s="323"/>
      <c r="L129" s="323"/>
      <c r="M129" s="462">
        <f>TABELAS_COEFICIENTES!D15</f>
        <v>15</v>
      </c>
      <c r="N129" s="323"/>
    </row>
    <row r="130" spans="1:15" s="152" customFormat="1" ht="15.75" customHeight="1" x14ac:dyDescent="0.25">
      <c r="A130" s="323"/>
      <c r="B130" s="301"/>
      <c r="C130" s="304"/>
      <c r="D130" s="315"/>
      <c r="E130" s="450" t="s">
        <v>516</v>
      </c>
      <c r="F130" s="323"/>
      <c r="G130" s="323"/>
      <c r="H130" s="323"/>
      <c r="I130" s="323"/>
      <c r="J130" s="323"/>
      <c r="K130" s="323"/>
      <c r="L130" s="323"/>
      <c r="M130" s="462">
        <f>TABELAS_COEFICIENTES!D16</f>
        <v>12</v>
      </c>
      <c r="N130" s="323"/>
    </row>
    <row r="131" spans="1:15" s="152" customFormat="1" ht="15.75" customHeight="1" x14ac:dyDescent="0.25">
      <c r="A131" s="323"/>
      <c r="B131" s="301"/>
      <c r="C131" s="304"/>
      <c r="D131" s="315"/>
      <c r="E131" s="450" t="s">
        <v>517</v>
      </c>
      <c r="F131" s="323"/>
      <c r="G131" s="323"/>
      <c r="H131" s="323"/>
      <c r="I131" s="323"/>
      <c r="J131" s="323"/>
      <c r="K131" s="323"/>
      <c r="L131" s="323"/>
      <c r="M131" s="462">
        <f>TABELAS_COEFICIENTES!D17</f>
        <v>30</v>
      </c>
      <c r="N131" s="323"/>
    </row>
    <row r="132" spans="1:15" s="152" customFormat="1" ht="15.75" customHeight="1" x14ac:dyDescent="0.25">
      <c r="A132" s="323"/>
      <c r="B132" s="301"/>
      <c r="C132" s="304"/>
      <c r="D132" s="315"/>
      <c r="E132" s="450" t="s">
        <v>518</v>
      </c>
      <c r="F132" s="323"/>
      <c r="G132" s="323"/>
      <c r="H132" s="323"/>
      <c r="I132" s="323"/>
      <c r="J132" s="323"/>
      <c r="K132" s="323"/>
      <c r="L132" s="323"/>
      <c r="M132" s="462">
        <f>TABELAS_COEFICIENTES!D18</f>
        <v>21</v>
      </c>
      <c r="N132" s="323"/>
    </row>
    <row r="133" spans="1:15" s="152" customFormat="1" ht="15.75" customHeight="1" x14ac:dyDescent="0.25">
      <c r="A133" s="323"/>
      <c r="B133" s="301"/>
      <c r="C133" s="304"/>
      <c r="D133" s="315"/>
      <c r="E133" s="450" t="s">
        <v>520</v>
      </c>
      <c r="F133" s="323"/>
      <c r="G133" s="323"/>
      <c r="H133" s="323"/>
      <c r="I133" s="323"/>
      <c r="J133" s="323"/>
      <c r="K133" s="323"/>
      <c r="L133" s="323"/>
      <c r="M133" s="462">
        <f>TABELAS_COEFICIENTES!D20</f>
        <v>18</v>
      </c>
      <c r="N133" s="323"/>
    </row>
    <row r="134" spans="1:15" s="152" customFormat="1" ht="15.75" customHeight="1" x14ac:dyDescent="0.25">
      <c r="A134" s="323"/>
      <c r="B134" s="331"/>
      <c r="C134" s="387"/>
      <c r="D134" s="361"/>
      <c r="E134" s="431"/>
      <c r="F134" s="431"/>
      <c r="G134" s="431"/>
      <c r="H134" s="431"/>
      <c r="I134" s="431"/>
      <c r="J134" s="431"/>
      <c r="K134" s="431"/>
      <c r="L134" s="431"/>
      <c r="M134" s="463"/>
      <c r="N134" s="323"/>
    </row>
    <row r="135" spans="1:15" s="152" customFormat="1" ht="15.75" customHeight="1" x14ac:dyDescent="0.25">
      <c r="A135" s="323"/>
      <c r="B135" s="267"/>
      <c r="C135" s="319"/>
      <c r="D135" s="319"/>
      <c r="E135" s="319"/>
      <c r="F135" s="319"/>
      <c r="G135" s="273"/>
      <c r="H135" s="273"/>
      <c r="I135" s="273"/>
      <c r="J135" s="273"/>
      <c r="K135" s="273"/>
      <c r="L135" s="273"/>
      <c r="M135" s="273"/>
      <c r="N135" s="273"/>
      <c r="O135" s="143"/>
    </row>
    <row r="136" spans="1:15" s="152" customFormat="1" ht="15.75" customHeight="1" x14ac:dyDescent="0.25">
      <c r="A136" s="323"/>
      <c r="B136" s="301" t="s">
        <v>276</v>
      </c>
      <c r="C136" s="314" t="s">
        <v>277</v>
      </c>
      <c r="D136" s="319"/>
      <c r="E136" s="319"/>
      <c r="F136" s="319"/>
      <c r="G136" s="273"/>
      <c r="H136" s="273"/>
      <c r="I136" s="273"/>
      <c r="J136" s="273"/>
      <c r="K136" s="273"/>
      <c r="L136" s="273"/>
      <c r="M136" s="273"/>
      <c r="N136" s="273"/>
      <c r="O136" s="143"/>
    </row>
    <row r="137" spans="1:15" ht="15.75" customHeight="1" x14ac:dyDescent="0.25">
      <c r="A137" s="273"/>
      <c r="B137" s="267"/>
      <c r="C137" s="306" t="s">
        <v>278</v>
      </c>
      <c r="D137" s="273"/>
      <c r="E137" s="274"/>
      <c r="F137" s="273"/>
      <c r="G137" s="273"/>
      <c r="H137" s="273"/>
      <c r="I137" s="273"/>
      <c r="J137" s="273"/>
      <c r="K137" s="273"/>
      <c r="L137" s="273"/>
      <c r="M137" s="273"/>
      <c r="N137" s="273"/>
    </row>
    <row r="138" spans="1:15" ht="15.75" customHeight="1" x14ac:dyDescent="0.25">
      <c r="A138" s="273"/>
      <c r="B138" s="267"/>
      <c r="C138" s="304" t="s">
        <v>279</v>
      </c>
      <c r="D138" s="273"/>
      <c r="E138" s="274"/>
      <c r="F138" s="273"/>
      <c r="G138" s="273"/>
      <c r="H138" s="273"/>
      <c r="I138" s="273"/>
      <c r="J138" s="273"/>
      <c r="K138" s="273"/>
      <c r="L138" s="273"/>
      <c r="M138" s="273"/>
      <c r="N138" s="273"/>
    </row>
    <row r="139" spans="1:15" ht="15.75" customHeight="1" x14ac:dyDescent="0.25">
      <c r="A139" s="273"/>
      <c r="B139" s="267"/>
      <c r="C139" s="304" t="s">
        <v>280</v>
      </c>
      <c r="D139" s="273"/>
      <c r="E139" s="274"/>
      <c r="F139" s="273"/>
      <c r="G139" s="273"/>
      <c r="H139" s="273"/>
      <c r="I139" s="273"/>
      <c r="J139" s="273"/>
      <c r="K139" s="273"/>
      <c r="L139" s="273"/>
      <c r="M139" s="273"/>
      <c r="N139" s="273"/>
    </row>
    <row r="140" spans="1:15" ht="15.75" customHeight="1" x14ac:dyDescent="0.25">
      <c r="A140" s="273"/>
      <c r="B140" s="267"/>
      <c r="C140" s="304" t="s">
        <v>281</v>
      </c>
      <c r="D140" s="273"/>
      <c r="E140" s="274"/>
      <c r="F140" s="273"/>
      <c r="G140" s="273"/>
      <c r="H140" s="273"/>
      <c r="I140" s="273"/>
      <c r="J140" s="273"/>
      <c r="K140" s="273"/>
      <c r="L140" s="273"/>
      <c r="M140" s="273"/>
      <c r="N140" s="273"/>
    </row>
    <row r="141" spans="1:15" ht="15.75" customHeight="1" x14ac:dyDescent="0.25">
      <c r="A141" s="273"/>
      <c r="B141" s="362"/>
      <c r="C141" s="275"/>
      <c r="D141" s="273"/>
      <c r="E141" s="274"/>
      <c r="F141" s="273"/>
      <c r="G141" s="273"/>
      <c r="H141" s="273"/>
      <c r="I141" s="273"/>
      <c r="J141" s="273"/>
      <c r="K141" s="273"/>
      <c r="L141" s="273"/>
      <c r="M141" s="273"/>
      <c r="N141" s="273"/>
    </row>
    <row r="143" spans="1:15" ht="15.75" hidden="1" customHeight="1" x14ac:dyDescent="0.25">
      <c r="B143" s="165"/>
      <c r="C143" s="166" t="s">
        <v>538</v>
      </c>
      <c r="D143" s="161"/>
      <c r="E143" s="17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</row>
    <row r="144" spans="1:15" ht="15.75" hidden="1" customHeight="1" x14ac:dyDescent="0.25">
      <c r="B144" s="165"/>
      <c r="C144" s="166" t="s">
        <v>539</v>
      </c>
      <c r="D144" s="161"/>
      <c r="E144" s="17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</row>
    <row r="145" spans="2:15" s="161" customFormat="1" ht="15.75" hidden="1" customHeight="1" x14ac:dyDescent="0.25">
      <c r="B145" s="165"/>
      <c r="C145" s="166" t="s">
        <v>540</v>
      </c>
      <c r="E145" s="171"/>
    </row>
    <row r="146" spans="2:15" s="161" customFormat="1" ht="15.95" customHeight="1" x14ac:dyDescent="0.25">
      <c r="B146" s="165"/>
      <c r="C146" s="173"/>
      <c r="D146" s="171"/>
    </row>
    <row r="147" spans="2:15" s="161" customFormat="1" ht="15.75" customHeight="1" x14ac:dyDescent="0.25">
      <c r="B147" s="165"/>
      <c r="D147" s="171"/>
    </row>
    <row r="148" spans="2:15" s="161" customFormat="1" ht="15.75" customHeight="1" x14ac:dyDescent="0.25">
      <c r="B148" s="165"/>
      <c r="D148" s="171"/>
    </row>
    <row r="149" spans="2:15" s="161" customFormat="1" ht="15.75" customHeight="1" x14ac:dyDescent="0.25">
      <c r="B149" s="160"/>
      <c r="C149" s="143"/>
      <c r="D149" s="156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</row>
    <row r="150" spans="2:15" s="161" customFormat="1" ht="15.75" customHeight="1" x14ac:dyDescent="0.25">
      <c r="B150" s="160"/>
      <c r="C150" s="155"/>
      <c r="D150" s="143"/>
      <c r="E150" s="156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</row>
  </sheetData>
  <sheetProtection algorithmName="SHA-512" hashValue="a88DVtStZb7X7AJRugY9//m5F4BdUXIcjGB3cFA+XaJKPRiCVAEOejbUdF7S1hpg8YIbqXutXWPSNpeoOCrR4w==" saltValue="nyQNNWzYNdHBDdQHl8zdjg==" spinCount="100000" sheet="1" objects="1" scenarios="1" selectLockedCells="1"/>
  <mergeCells count="21">
    <mergeCell ref="L105:M105"/>
    <mergeCell ref="C106:D106"/>
    <mergeCell ref="L111:M111"/>
    <mergeCell ref="F109:G109"/>
    <mergeCell ref="L109:M109"/>
    <mergeCell ref="J2:M2"/>
    <mergeCell ref="J4:M4"/>
    <mergeCell ref="J6:M6"/>
    <mergeCell ref="C82:M82"/>
    <mergeCell ref="C93:M93"/>
    <mergeCell ref="C38:M38"/>
    <mergeCell ref="C49:M49"/>
    <mergeCell ref="C60:M60"/>
    <mergeCell ref="C71:M71"/>
    <mergeCell ref="C16:M16"/>
    <mergeCell ref="C27:M27"/>
    <mergeCell ref="B9:M9"/>
    <mergeCell ref="D15:H15"/>
    <mergeCell ref="D37:H37"/>
    <mergeCell ref="D59:H59"/>
    <mergeCell ref="D81:H81"/>
  </mergeCells>
  <phoneticPr fontId="4" type="noConversion"/>
  <conditionalFormatting sqref="D15:H15">
    <cfRule type="containsBlanks" dxfId="34" priority="4">
      <formula>LEN(TRIM(D15))=0</formula>
    </cfRule>
  </conditionalFormatting>
  <conditionalFormatting sqref="D37:H37">
    <cfRule type="containsBlanks" dxfId="33" priority="3">
      <formula>LEN(TRIM(D37))=0</formula>
    </cfRule>
  </conditionalFormatting>
  <conditionalFormatting sqref="D59:H59">
    <cfRule type="containsBlanks" dxfId="32" priority="2">
      <formula>LEN(TRIM(D59))=0</formula>
    </cfRule>
  </conditionalFormatting>
  <conditionalFormatting sqref="D81:H81">
    <cfRule type="containsBlanks" dxfId="31" priority="1">
      <formula>LEN(TRIM(D81))=0</formula>
    </cfRule>
  </conditionalFormatting>
  <conditionalFormatting sqref="G18 H18:H19 L18:L26 F19 I20:I25 J26:K26 G29 L29:L35 I30:I34 J35:K35 G40 H40:H41 L40:L48 F41 I42:I47 J48:K48 G51 L51:L57 I52:I56 J57:K57 G62 H62:H63 L62:L70 F63 I64:I69 J70:K70 G73 L73:L79 I74:I78 J79:K79 G84 H84:H85 L84:L92 F85 I86:I91 J92:K92 G95 L95:L101 I96:I100 J101:K101">
    <cfRule type="containsBlanks" dxfId="30" priority="15">
      <formula>LEN(TRIM(F18))=0</formula>
    </cfRule>
  </conditionalFormatting>
  <conditionalFormatting sqref="J2 J4">
    <cfRule type="containsBlanks" dxfId="29" priority="16">
      <formula>LEN(TRIM(J2))=0</formula>
    </cfRule>
  </conditionalFormatting>
  <conditionalFormatting sqref="M11">
    <cfRule type="containsBlanks" dxfId="28" priority="13">
      <formula>LEN(TRIM(M11))=0</formula>
    </cfRule>
  </conditionalFormatting>
  <dataValidations xWindow="1575" yWindow="656" count="17">
    <dataValidation type="custom" allowBlank="1" showInputMessage="1" showErrorMessage="1" sqref="E103" xr:uid="{B6F86499-116C-4524-B296-FEE5CA20A5DB}">
      <formula1>OR(#REF!&lt;&gt;"Sem demolição",E103=" ")</formula1>
    </dataValidation>
    <dataValidation type="list" allowBlank="1" showInputMessage="1" showErrorMessage="1" sqref="M11" xr:uid="{3DE6A676-5FEC-44AC-98D7-15BDB0A26D34}">
      <formula1>$C$143:$C$145</formula1>
    </dataValidation>
    <dataValidation type="whole" operator="greaterThan" allowBlank="1" showInputMessage="1" showErrorMessage="1" error="Deve inserir um número inteiro" sqref="E102:F102" xr:uid="{048ED3A1-2BF4-4F2A-96E8-D2CA57A56AF3}">
      <formula1>0</formula1>
    </dataValidation>
    <dataValidation type="whole" operator="greaterThanOrEqual" allowBlank="1" showInputMessage="1" showErrorMessage="1" errorTitle="Prazo inválido" error="Deve inserir um número inteiro correspondente aos meses de ocupaçãodo domínio público e/ou privado municipal com o equipamento ou instalação. Mínimo 1 mês (nos termos do n.º 1, do artigo 24.º do RMTRAUOC)." prompt="Indique o prazo (em meses) para a ocupação do domínio público e/ou privado municipal com o equipamento ou instalação (não pode ultrapassar o prazo da obra)" sqref="L80 L58 L36" xr:uid="{C0983E88-B94C-4DAA-854E-F5FAF5A2C1B3}">
      <formula1>1</formula1>
    </dataValidation>
    <dataValidation type="whole" operator="greaterThanOrEqual" allowBlank="1" showInputMessage="1" showErrorMessage="1" errorTitle="Unidades inválidas" error="Deve inserir um número inteiro correspondente ao número de unidade do equipamento ou instalação" prompt="Indique o número de unidades do equipamento ou instalação" sqref="I58 I36 I80" xr:uid="{9A77154C-8427-44E4-B75F-9AD4316D9184}">
      <formula1>1</formula1>
    </dataValidation>
    <dataValidation allowBlank="1" showInputMessage="1" showErrorMessage="1" prompt="Indique a área (em m2) de domínio público e/ou privado municipal ocupada com stands de vendas" sqref="G36 G58 G80" xr:uid="{9EFC7D2B-A69A-40B3-8816-8491C2272766}"/>
    <dataValidation type="custom" allowBlank="1" showInputMessage="1" showErrorMessage="1" sqref="E113" xr:uid="{3B70B635-0C9B-4360-BBCE-151FEC4BDC3D}">
      <formula1>OR(E109&lt;&gt;"Sem demolição",E113=" ")</formula1>
    </dataValidation>
    <dataValidation type="custom" allowBlank="1" showInputMessage="1" showErrorMessage="1" sqref="E114" xr:uid="{B9E9DB45-3E62-4BAB-84D2-7EBE84EA958D}">
      <formula1>OR(E112&lt;&gt;"Sem demolição",E114=" ")</formula1>
    </dataValidation>
    <dataValidation allowBlank="1" showInputMessage="1" showErrorMessage="1" promptTitle="Nome do Arruamento" prompt="Indique o nome do arruamento" sqref="D37 D15 D59 D81" xr:uid="{6A60CD40-9551-4D39-A2D7-AA66F2168448}"/>
    <dataValidation type="custom" allowBlank="1" showInputMessage="1" showErrorMessage="1" sqref="M128:M134" xr:uid="{C9975EED-93D2-43EB-A733-FB89ADD7E284}">
      <formula1>OR(E115&lt;&gt;"Sem demolição",M128=" ")</formula1>
    </dataValidation>
    <dataValidation type="custom" allowBlank="1" showInputMessage="1" showErrorMessage="1" sqref="M115 M118:M127" xr:uid="{6FB8CCC1-1657-4E5B-BE7E-65A53571548A}">
      <formula1>OR(E112&lt;&gt;"Sem demolição",M115=" ")</formula1>
    </dataValidation>
    <dataValidation type="custom" allowBlank="1" showInputMessage="1" showErrorMessage="1" sqref="M116:M117" xr:uid="{10A98D49-3091-4CF7-A7D6-20496A0B75A2}">
      <formula1>OR(E114&lt;&gt;"Sem demolição",M116=" ")</formula1>
    </dataValidation>
    <dataValidation type="custom" allowBlank="1" showInputMessage="1" showErrorMessage="1" errorTitle="Valor inválido" error="Apenas são admitidos valores numéricos com um máximo de duas casas decimais." prompt="Indique a dimensão da frente do andaime em metros lineares" sqref="F19 G18 G29 F41 G40 F63 G62 F85 G84 G51 G73 G95" xr:uid="{1E42AA7C-0A88-472F-BF0E-97A2CC4357CF}">
      <formula1>ROUND(F18,2)=F18</formula1>
    </dataValidation>
    <dataValidation type="whole" operator="greaterThanOrEqual" allowBlank="1" showInputMessage="1" showErrorMessage="1" errorTitle="Valor inválido" error="Apenas são admitidos valores numéricos inteiros que correspondam ao número de pisos do edifício cobertos por andaime" prompt="Indique o número de pisos do edifício cobertos por andaime" sqref="H19 H41 H63 H85" xr:uid="{B99EDF4C-1E58-47BD-BE61-F3E58949D1FB}">
      <formula1>1</formula1>
    </dataValidation>
    <dataValidation type="whole" operator="greaterThanOrEqual" allowBlank="1" showInputMessage="1" showErrorMessage="1" errorTitle="Valor inválido" error="Apenas são admitidos valores numéricos inteiros que correspondam ao número de unidades do equipamento ou instalação." prompt="Indique o número de unidades do equipamento ou instalação" sqref="I20:I25 I30:I34 I42:I47 I64:I69 I86:I91 I52:I56 I74:I78 I96:I100 J26:K26 J35:K35 J48:K48 J70:K70 J92:K92 J57:K57 J79:K79 J101:K101" xr:uid="{E5498F7A-24D5-422F-A85E-F933330D6E1E}">
      <formula1>1</formula1>
    </dataValidation>
    <dataValidation type="whole" allowBlank="1" showInputMessage="1" showErrorMessage="1" errorTitle="Valor inválido" error="Apenas são admitidos valores numéricos inteiros que correspondam ao número de pisos do edifício cobertos por resguardo ou tapume._x000a__x000a_Nota: Não deve ultrapassar os 2 pisos do edifício." prompt="Indique o número de pisos do edifício cobertos por tapume (apenas quando exista simultaneamente ocupação com andaimes)" sqref="H18 H40 H62 H84" xr:uid="{F98E2BE2-582F-43DF-85D8-0EA453BEA95F}">
      <formula1>1</formula1>
      <formula2>2</formula2>
    </dataValidation>
    <dataValidation type="whole" operator="greaterThanOrEqual" allowBlank="1" showInputMessage="1" showErrorMessage="1" errorTitle="Valor inválido" error="Apenas são admitidos valores numéricos inteiros que correspondam aos meses de ocupaçãodo domínio público e/ou privado municipal com o equipamento ou instalação. Mínimo 1 mês (nos termos do n.º 1, do artigo 24.º do RMTRAUOC)." prompt="Indique o prazo (em meses) para a ocupação do domínio público e/ou privado municipal com o equipamento ou instalação (não pode ultrapassar o prazo da obra)" sqref="L18:L26 L29:L35 L40:L48 L62:L70 L84:L92 L51:L57 L73:L79 L95:L101" xr:uid="{D4F13174-9CFE-4088-8214-4442584C0E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4294967293" verticalDpi="4294967293" r:id="rId1"/>
  <headerFooter>
    <oddFooter>&amp;L&amp;F&amp;RPágina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B130-8107-4CC9-B852-12B66E559309}">
  <sheetPr codeName="Folha11">
    <tabColor theme="9" tint="-0.249977111117893"/>
    <pageSetUpPr fitToPage="1"/>
  </sheetPr>
  <dimension ref="A1:O150"/>
  <sheetViews>
    <sheetView showGridLines="0" zoomScale="90" zoomScaleNormal="90" workbookViewId="0">
      <selection activeCell="J2" sqref="J2:M2"/>
    </sheetView>
  </sheetViews>
  <sheetFormatPr defaultColWidth="5.5703125" defaultRowHeight="15.75" customHeight="1" x14ac:dyDescent="0.25"/>
  <cols>
    <col min="1" max="1" width="2.5703125" style="143" customWidth="1"/>
    <col min="2" max="2" width="6.5703125" style="160" customWidth="1"/>
    <col min="3" max="3" width="25.5703125" style="155" customWidth="1"/>
    <col min="4" max="4" width="40.5703125" style="143" customWidth="1"/>
    <col min="5" max="5" width="25.5703125" style="156" customWidth="1"/>
    <col min="6" max="9" width="15.5703125" style="143" customWidth="1"/>
    <col min="10" max="11" width="20.5703125" style="143" customWidth="1"/>
    <col min="12" max="12" width="15.5703125" style="143" customWidth="1"/>
    <col min="13" max="13" width="25.5703125" style="143" customWidth="1"/>
    <col min="14" max="14" width="2.5703125" style="143" customWidth="1"/>
    <col min="15" max="16384" width="5.5703125" style="143"/>
  </cols>
  <sheetData>
    <row r="1" spans="1:14" ht="15.75" customHeight="1" x14ac:dyDescent="0.25">
      <c r="A1" s="273"/>
      <c r="B1" s="362"/>
      <c r="C1" s="268"/>
      <c r="D1" s="269"/>
      <c r="E1" s="270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15.75" customHeight="1" x14ac:dyDescent="0.25">
      <c r="A2" s="273"/>
      <c r="B2" s="362"/>
      <c r="C2" s="280"/>
      <c r="D2" s="280"/>
      <c r="E2" s="280"/>
      <c r="F2" s="280"/>
      <c r="G2" s="280"/>
      <c r="H2" s="280"/>
      <c r="I2" s="271" t="s">
        <v>282</v>
      </c>
      <c r="J2" s="582"/>
      <c r="K2" s="582"/>
      <c r="L2" s="582"/>
      <c r="M2" s="582"/>
      <c r="N2" s="273"/>
    </row>
    <row r="3" spans="1:14" ht="15.75" customHeight="1" x14ac:dyDescent="0.25">
      <c r="A3" s="273"/>
      <c r="B3" s="362"/>
      <c r="C3" s="280"/>
      <c r="D3" s="273"/>
      <c r="E3" s="274"/>
      <c r="F3" s="273"/>
      <c r="G3" s="273"/>
      <c r="H3" s="273"/>
      <c r="I3" s="323"/>
      <c r="J3" s="273"/>
      <c r="K3" s="269"/>
      <c r="L3" s="270"/>
      <c r="M3" s="273"/>
      <c r="N3" s="273"/>
    </row>
    <row r="4" spans="1:14" ht="15.75" customHeight="1" x14ac:dyDescent="0.25">
      <c r="A4" s="273"/>
      <c r="B4" s="362"/>
      <c r="C4" s="280"/>
      <c r="D4" s="280"/>
      <c r="E4" s="280"/>
      <c r="F4" s="280"/>
      <c r="G4" s="280"/>
      <c r="H4" s="280"/>
      <c r="I4" s="271" t="s">
        <v>283</v>
      </c>
      <c r="J4" s="582"/>
      <c r="K4" s="582"/>
      <c r="L4" s="582"/>
      <c r="M4" s="582"/>
      <c r="N4" s="273"/>
    </row>
    <row r="5" spans="1:14" ht="15.75" customHeight="1" x14ac:dyDescent="0.25">
      <c r="A5" s="273"/>
      <c r="B5" s="362"/>
      <c r="C5" s="280"/>
      <c r="D5" s="273"/>
      <c r="E5" s="274"/>
      <c r="F5" s="273"/>
      <c r="G5" s="273"/>
      <c r="H5" s="273"/>
      <c r="I5" s="323"/>
      <c r="J5" s="273"/>
      <c r="K5" s="269"/>
      <c r="L5" s="270"/>
      <c r="M5" s="273"/>
      <c r="N5" s="273"/>
    </row>
    <row r="6" spans="1:14" ht="15.75" customHeight="1" x14ac:dyDescent="0.25">
      <c r="A6" s="273"/>
      <c r="B6" s="362"/>
      <c r="C6" s="280"/>
      <c r="D6" s="280"/>
      <c r="E6" s="280"/>
      <c r="F6" s="280"/>
      <c r="G6" s="280"/>
      <c r="H6" s="280"/>
      <c r="I6" s="271" t="s">
        <v>284</v>
      </c>
      <c r="J6" s="583">
        <f ca="1">NOW()</f>
        <v>46178.662026273145</v>
      </c>
      <c r="K6" s="583"/>
      <c r="L6" s="583"/>
      <c r="M6" s="583"/>
      <c r="N6" s="273"/>
    </row>
    <row r="7" spans="1:14" ht="15.75" customHeight="1" x14ac:dyDescent="0.25">
      <c r="A7" s="273"/>
      <c r="B7" s="362"/>
      <c r="C7" s="268"/>
      <c r="D7" s="269"/>
      <c r="E7" s="270"/>
      <c r="F7" s="273"/>
      <c r="G7" s="273"/>
      <c r="H7" s="273"/>
      <c r="I7" s="273"/>
      <c r="J7" s="273"/>
      <c r="K7" s="273"/>
      <c r="L7" s="273"/>
      <c r="M7" s="273"/>
      <c r="N7" s="273"/>
    </row>
    <row r="8" spans="1:14" ht="24.95" customHeight="1" x14ac:dyDescent="0.25">
      <c r="A8" s="273"/>
      <c r="B8" s="145" t="s">
        <v>491</v>
      </c>
      <c r="C8" s="145"/>
      <c r="D8" s="146"/>
      <c r="E8" s="147"/>
      <c r="F8" s="146"/>
      <c r="G8" s="146"/>
      <c r="H8" s="146"/>
      <c r="I8" s="146"/>
      <c r="J8" s="146"/>
      <c r="K8" s="146"/>
      <c r="L8" s="146"/>
      <c r="M8" s="146"/>
      <c r="N8" s="273"/>
    </row>
    <row r="9" spans="1:14" ht="35.1" customHeight="1" x14ac:dyDescent="0.25">
      <c r="A9" s="273"/>
      <c r="B9" s="596" t="s">
        <v>541</v>
      </c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273"/>
    </row>
    <row r="10" spans="1:14" ht="15.75" customHeight="1" x14ac:dyDescent="0.25">
      <c r="A10" s="273"/>
      <c r="B10" s="362"/>
      <c r="C10" s="275"/>
      <c r="D10" s="273"/>
      <c r="E10" s="274"/>
      <c r="F10" s="273"/>
      <c r="G10" s="273"/>
      <c r="H10" s="273"/>
      <c r="I10" s="273"/>
      <c r="J10" s="273"/>
      <c r="K10" s="273"/>
      <c r="L10" s="273"/>
      <c r="M10" s="273"/>
      <c r="N10" s="273"/>
    </row>
    <row r="11" spans="1:14" x14ac:dyDescent="0.25">
      <c r="A11" s="273"/>
      <c r="B11" s="363">
        <v>1</v>
      </c>
      <c r="C11" s="276" t="s">
        <v>447</v>
      </c>
      <c r="D11" s="269"/>
      <c r="E11" s="274"/>
      <c r="F11" s="273"/>
      <c r="G11" s="273"/>
      <c r="H11" s="273"/>
      <c r="I11" s="273"/>
      <c r="J11" s="273"/>
      <c r="K11" s="273"/>
      <c r="L11" s="273"/>
      <c r="M11" s="401"/>
      <c r="N11" s="273"/>
    </row>
    <row r="12" spans="1:14" x14ac:dyDescent="0.25">
      <c r="A12" s="273"/>
      <c r="B12" s="365"/>
      <c r="C12" s="282"/>
      <c r="D12" s="269"/>
      <c r="E12" s="274"/>
      <c r="F12" s="273"/>
      <c r="G12" s="273"/>
      <c r="H12" s="273"/>
      <c r="I12" s="273"/>
      <c r="J12" s="273"/>
      <c r="K12" s="273"/>
      <c r="L12" s="273"/>
      <c r="M12" s="364"/>
      <c r="N12" s="273"/>
    </row>
    <row r="13" spans="1:14" x14ac:dyDescent="0.25">
      <c r="A13" s="273"/>
      <c r="B13" s="284">
        <v>2</v>
      </c>
      <c r="C13" s="285" t="s">
        <v>493</v>
      </c>
      <c r="D13" s="273"/>
      <c r="E13" s="274"/>
      <c r="F13" s="273"/>
      <c r="G13" s="273"/>
      <c r="H13" s="273"/>
      <c r="I13" s="273"/>
      <c r="J13" s="273"/>
      <c r="K13" s="273"/>
      <c r="L13" s="273"/>
      <c r="M13" s="432"/>
      <c r="N13" s="273"/>
    </row>
    <row r="14" spans="1:14" x14ac:dyDescent="0.25">
      <c r="A14" s="273"/>
      <c r="B14" s="365"/>
      <c r="C14" s="282"/>
      <c r="D14" s="269"/>
      <c r="E14" s="364"/>
      <c r="F14" s="273"/>
      <c r="G14" s="273"/>
      <c r="H14" s="273"/>
      <c r="I14" s="273"/>
      <c r="J14" s="273"/>
      <c r="K14" s="273"/>
      <c r="L14" s="273"/>
      <c r="M14" s="273"/>
      <c r="N14" s="273"/>
    </row>
    <row r="15" spans="1:14" ht="20.100000000000001" customHeight="1" x14ac:dyDescent="0.25">
      <c r="A15" s="273"/>
      <c r="B15" s="365"/>
      <c r="C15" s="451" t="s">
        <v>494</v>
      </c>
      <c r="D15" s="597"/>
      <c r="E15" s="597"/>
      <c r="F15" s="597"/>
      <c r="G15" s="597"/>
      <c r="H15" s="597"/>
      <c r="I15" s="456"/>
      <c r="J15" s="456"/>
      <c r="K15" s="456"/>
      <c r="L15" s="456"/>
      <c r="M15" s="457"/>
      <c r="N15" s="273"/>
    </row>
    <row r="16" spans="1:14" ht="20.100000000000001" customHeight="1" x14ac:dyDescent="0.25">
      <c r="A16" s="273"/>
      <c r="B16" s="365"/>
      <c r="C16" s="602" t="s">
        <v>495</v>
      </c>
      <c r="D16" s="603"/>
      <c r="E16" s="603"/>
      <c r="F16" s="603"/>
      <c r="G16" s="603"/>
      <c r="H16" s="603"/>
      <c r="I16" s="603"/>
      <c r="J16" s="603"/>
      <c r="K16" s="603"/>
      <c r="L16" s="603"/>
      <c r="M16" s="604"/>
      <c r="N16" s="273"/>
    </row>
    <row r="17" spans="1:14" ht="20.100000000000001" customHeight="1" x14ac:dyDescent="0.25">
      <c r="A17" s="273"/>
      <c r="B17" s="365"/>
      <c r="C17" s="437" t="s">
        <v>92</v>
      </c>
      <c r="D17" s="399" t="s">
        <v>496</v>
      </c>
      <c r="E17" s="435" t="s">
        <v>94</v>
      </c>
      <c r="F17" s="400" t="s">
        <v>497</v>
      </c>
      <c r="G17" s="400" t="s">
        <v>498</v>
      </c>
      <c r="H17" s="400" t="s">
        <v>499</v>
      </c>
      <c r="I17" s="436" t="s">
        <v>500</v>
      </c>
      <c r="J17" s="436" t="s">
        <v>501</v>
      </c>
      <c r="K17" s="436" t="s">
        <v>502</v>
      </c>
      <c r="L17" s="439" t="s">
        <v>503</v>
      </c>
      <c r="M17" s="400" t="s">
        <v>504</v>
      </c>
      <c r="N17" s="273"/>
    </row>
    <row r="18" spans="1:14" ht="20.100000000000001" customHeight="1" x14ac:dyDescent="0.25">
      <c r="A18" s="273"/>
      <c r="B18" s="365"/>
      <c r="C18" s="395" t="s">
        <v>505</v>
      </c>
      <c r="D18" s="394" t="s">
        <v>506</v>
      </c>
      <c r="E18" s="433" t="s">
        <v>507</v>
      </c>
      <c r="F18" s="455"/>
      <c r="G18" s="414"/>
      <c r="H18" s="415"/>
      <c r="I18" s="416"/>
      <c r="J18" s="417"/>
      <c r="K18" s="418"/>
      <c r="L18" s="415"/>
      <c r="M18" s="58">
        <f>(G18*M118)*L18*M116</f>
        <v>0</v>
      </c>
      <c r="N18" s="273"/>
    </row>
    <row r="19" spans="1:14" ht="20.100000000000001" customHeight="1" x14ac:dyDescent="0.25">
      <c r="A19" s="273"/>
      <c r="B19" s="365"/>
      <c r="C19" s="395" t="s">
        <v>508</v>
      </c>
      <c r="D19" s="394" t="s">
        <v>509</v>
      </c>
      <c r="E19" s="433" t="s">
        <v>510</v>
      </c>
      <c r="F19" s="414"/>
      <c r="G19" s="419"/>
      <c r="H19" s="415"/>
      <c r="I19" s="420"/>
      <c r="J19" s="421"/>
      <c r="K19" s="422"/>
      <c r="L19" s="415"/>
      <c r="M19" s="58">
        <f>F19*M119*(H19-H18)*L19*M116</f>
        <v>0</v>
      </c>
      <c r="N19" s="273"/>
    </row>
    <row r="20" spans="1:14" ht="20.100000000000001" customHeight="1" x14ac:dyDescent="0.25">
      <c r="A20" s="273"/>
      <c r="B20" s="365"/>
      <c r="C20" s="395" t="s">
        <v>511</v>
      </c>
      <c r="D20" s="394" t="s">
        <v>512</v>
      </c>
      <c r="E20" s="433" t="s">
        <v>513</v>
      </c>
      <c r="F20" s="423"/>
      <c r="G20" s="374"/>
      <c r="H20" s="418"/>
      <c r="I20" s="415"/>
      <c r="J20" s="424"/>
      <c r="K20" s="422"/>
      <c r="L20" s="415"/>
      <c r="M20" s="58">
        <f>I20*M120*L20*M116</f>
        <v>0</v>
      </c>
      <c r="N20" s="273"/>
    </row>
    <row r="21" spans="1:14" ht="20.100000000000001" customHeight="1" x14ac:dyDescent="0.25">
      <c r="A21" s="273"/>
      <c r="B21" s="365"/>
      <c r="C21" s="395" t="s">
        <v>511</v>
      </c>
      <c r="D21" s="394" t="s">
        <v>514</v>
      </c>
      <c r="E21" s="433" t="s">
        <v>513</v>
      </c>
      <c r="F21" s="425"/>
      <c r="G21" s="374"/>
      <c r="H21" s="422"/>
      <c r="I21" s="415"/>
      <c r="J21" s="424"/>
      <c r="K21" s="422"/>
      <c r="L21" s="415"/>
      <c r="M21" s="58">
        <f>I21*M121*L21*M116</f>
        <v>0</v>
      </c>
      <c r="N21" s="273"/>
    </row>
    <row r="22" spans="1:14" ht="20.100000000000001" customHeight="1" x14ac:dyDescent="0.25">
      <c r="A22" s="273"/>
      <c r="B22" s="365"/>
      <c r="C22" s="395" t="s">
        <v>511</v>
      </c>
      <c r="D22" s="394" t="s">
        <v>515</v>
      </c>
      <c r="E22" s="433" t="s">
        <v>513</v>
      </c>
      <c r="F22" s="425"/>
      <c r="G22" s="374"/>
      <c r="H22" s="422"/>
      <c r="I22" s="415"/>
      <c r="J22" s="424"/>
      <c r="K22" s="422"/>
      <c r="L22" s="415"/>
      <c r="M22" s="58">
        <f>I22*M122*L22*M116</f>
        <v>0</v>
      </c>
      <c r="N22" s="273"/>
    </row>
    <row r="23" spans="1:14" ht="20.100000000000001" customHeight="1" x14ac:dyDescent="0.25">
      <c r="A23" s="273"/>
      <c r="B23" s="365"/>
      <c r="C23" s="395" t="s">
        <v>511</v>
      </c>
      <c r="D23" s="395" t="s">
        <v>516</v>
      </c>
      <c r="E23" s="433" t="s">
        <v>513</v>
      </c>
      <c r="F23" s="425"/>
      <c r="G23" s="374"/>
      <c r="H23" s="422"/>
      <c r="I23" s="415"/>
      <c r="J23" s="424"/>
      <c r="K23" s="422"/>
      <c r="L23" s="415"/>
      <c r="M23" s="58">
        <f>I23*M123*L23*M116</f>
        <v>0</v>
      </c>
      <c r="N23" s="273"/>
    </row>
    <row r="24" spans="1:14" ht="20.100000000000001" customHeight="1" x14ac:dyDescent="0.25">
      <c r="A24" s="273"/>
      <c r="B24" s="365"/>
      <c r="C24" s="395" t="s">
        <v>511</v>
      </c>
      <c r="D24" s="395" t="s">
        <v>517</v>
      </c>
      <c r="E24" s="433" t="s">
        <v>513</v>
      </c>
      <c r="F24" s="425"/>
      <c r="G24" s="374"/>
      <c r="H24" s="422"/>
      <c r="I24" s="415"/>
      <c r="J24" s="424"/>
      <c r="K24" s="422"/>
      <c r="L24" s="415"/>
      <c r="M24" s="58">
        <f>I24*M124*L24*M116</f>
        <v>0</v>
      </c>
      <c r="N24" s="273"/>
    </row>
    <row r="25" spans="1:14" ht="20.100000000000001" customHeight="1" x14ac:dyDescent="0.25">
      <c r="A25" s="273"/>
      <c r="B25" s="365"/>
      <c r="C25" s="395" t="s">
        <v>511</v>
      </c>
      <c r="D25" s="394" t="s">
        <v>518</v>
      </c>
      <c r="E25" s="433" t="s">
        <v>513</v>
      </c>
      <c r="F25" s="425"/>
      <c r="G25" s="374"/>
      <c r="H25" s="422"/>
      <c r="I25" s="415"/>
      <c r="J25" s="420"/>
      <c r="K25" s="426"/>
      <c r="L25" s="415"/>
      <c r="M25" s="58">
        <f>I25*M125*L25*M116</f>
        <v>0</v>
      </c>
      <c r="N25" s="273"/>
    </row>
    <row r="26" spans="1:14" ht="20.100000000000001" customHeight="1" x14ac:dyDescent="0.25">
      <c r="A26" s="273"/>
      <c r="B26" s="365"/>
      <c r="C26" s="395" t="s">
        <v>519</v>
      </c>
      <c r="D26" s="394" t="s">
        <v>520</v>
      </c>
      <c r="E26" s="434" t="s">
        <v>521</v>
      </c>
      <c r="F26" s="425"/>
      <c r="G26" s="427"/>
      <c r="H26" s="421"/>
      <c r="I26" s="428"/>
      <c r="J26" s="415"/>
      <c r="K26" s="415"/>
      <c r="L26" s="415"/>
      <c r="M26" s="58">
        <f>(J26+(K26*0.2))*M126*L26*M116</f>
        <v>0</v>
      </c>
      <c r="N26" s="273"/>
    </row>
    <row r="27" spans="1:14" ht="20.100000000000001" customHeight="1" x14ac:dyDescent="0.25">
      <c r="A27" s="273"/>
      <c r="B27" s="365"/>
      <c r="C27" s="602" t="s">
        <v>522</v>
      </c>
      <c r="D27" s="603"/>
      <c r="E27" s="603"/>
      <c r="F27" s="603"/>
      <c r="G27" s="603"/>
      <c r="H27" s="603"/>
      <c r="I27" s="603"/>
      <c r="J27" s="603"/>
      <c r="K27" s="603"/>
      <c r="L27" s="603"/>
      <c r="M27" s="604"/>
      <c r="N27" s="273"/>
    </row>
    <row r="28" spans="1:14" ht="20.100000000000001" customHeight="1" x14ac:dyDescent="0.25">
      <c r="A28" s="273"/>
      <c r="B28" s="365"/>
      <c r="C28" s="437" t="s">
        <v>92</v>
      </c>
      <c r="D28" s="399" t="s">
        <v>496</v>
      </c>
      <c r="E28" s="435" t="s">
        <v>94</v>
      </c>
      <c r="F28" s="400" t="s">
        <v>497</v>
      </c>
      <c r="G28" s="400" t="s">
        <v>498</v>
      </c>
      <c r="H28" s="400" t="s">
        <v>499</v>
      </c>
      <c r="I28" s="436" t="s">
        <v>500</v>
      </c>
      <c r="J28" s="436" t="s">
        <v>501</v>
      </c>
      <c r="K28" s="436" t="s">
        <v>502</v>
      </c>
      <c r="L28" s="400" t="s">
        <v>503</v>
      </c>
      <c r="M28" s="438" t="s">
        <v>504</v>
      </c>
      <c r="N28" s="273"/>
    </row>
    <row r="29" spans="1:14" ht="20.100000000000001" customHeight="1" x14ac:dyDescent="0.25">
      <c r="A29" s="273"/>
      <c r="B29" s="365"/>
      <c r="C29" s="395" t="s">
        <v>505</v>
      </c>
      <c r="D29" s="394" t="s">
        <v>506</v>
      </c>
      <c r="E29" s="433" t="s">
        <v>507</v>
      </c>
      <c r="F29" s="419"/>
      <c r="G29" s="414"/>
      <c r="H29" s="416"/>
      <c r="I29" s="429"/>
      <c r="J29" s="417"/>
      <c r="K29" s="418"/>
      <c r="L29" s="415"/>
      <c r="M29" s="58">
        <f>(G29*M127)*L29*M116</f>
        <v>0</v>
      </c>
      <c r="N29" s="273"/>
    </row>
    <row r="30" spans="1:14" ht="20.100000000000001" customHeight="1" x14ac:dyDescent="0.25">
      <c r="A30" s="273"/>
      <c r="B30" s="365"/>
      <c r="C30" s="395" t="s">
        <v>511</v>
      </c>
      <c r="D30" s="394" t="s">
        <v>514</v>
      </c>
      <c r="E30" s="433" t="s">
        <v>513</v>
      </c>
      <c r="F30" s="425"/>
      <c r="G30" s="430"/>
      <c r="H30" s="422"/>
      <c r="I30" s="415"/>
      <c r="J30" s="424"/>
      <c r="K30" s="422"/>
      <c r="L30" s="415"/>
      <c r="M30" s="58">
        <f>I30*M128*L30*M116</f>
        <v>0</v>
      </c>
      <c r="N30" s="273"/>
    </row>
    <row r="31" spans="1:14" ht="20.100000000000001" customHeight="1" x14ac:dyDescent="0.25">
      <c r="A31" s="273"/>
      <c r="B31" s="365"/>
      <c r="C31" s="395" t="s">
        <v>511</v>
      </c>
      <c r="D31" s="394" t="s">
        <v>515</v>
      </c>
      <c r="E31" s="433" t="s">
        <v>513</v>
      </c>
      <c r="F31" s="425"/>
      <c r="G31" s="374"/>
      <c r="H31" s="422"/>
      <c r="I31" s="415"/>
      <c r="J31" s="424"/>
      <c r="K31" s="422"/>
      <c r="L31" s="415"/>
      <c r="M31" s="58">
        <f>I31*M129*L31*M116</f>
        <v>0</v>
      </c>
      <c r="N31" s="273"/>
    </row>
    <row r="32" spans="1:14" ht="20.100000000000001" customHeight="1" x14ac:dyDescent="0.25">
      <c r="A32" s="273"/>
      <c r="B32" s="365"/>
      <c r="C32" s="395" t="s">
        <v>511</v>
      </c>
      <c r="D32" s="395" t="s">
        <v>516</v>
      </c>
      <c r="E32" s="433" t="s">
        <v>513</v>
      </c>
      <c r="F32" s="425"/>
      <c r="G32" s="374"/>
      <c r="H32" s="422"/>
      <c r="I32" s="415"/>
      <c r="J32" s="424"/>
      <c r="K32" s="422"/>
      <c r="L32" s="415"/>
      <c r="M32" s="58">
        <f>I32*M130*L32*M116</f>
        <v>0</v>
      </c>
      <c r="N32" s="273"/>
    </row>
    <row r="33" spans="1:14" ht="20.100000000000001" customHeight="1" x14ac:dyDescent="0.25">
      <c r="A33" s="273"/>
      <c r="B33" s="365"/>
      <c r="C33" s="395" t="s">
        <v>511</v>
      </c>
      <c r="D33" s="395" t="s">
        <v>517</v>
      </c>
      <c r="E33" s="433" t="s">
        <v>513</v>
      </c>
      <c r="F33" s="425"/>
      <c r="G33" s="374"/>
      <c r="H33" s="422"/>
      <c r="I33" s="415"/>
      <c r="J33" s="424"/>
      <c r="K33" s="422"/>
      <c r="L33" s="415"/>
      <c r="M33" s="58">
        <f>I33*M131*L33*M116</f>
        <v>0</v>
      </c>
      <c r="N33" s="273"/>
    </row>
    <row r="34" spans="1:14" ht="20.100000000000001" customHeight="1" x14ac:dyDescent="0.25">
      <c r="A34" s="273"/>
      <c r="B34" s="365"/>
      <c r="C34" s="395" t="s">
        <v>511</v>
      </c>
      <c r="D34" s="394" t="s">
        <v>518</v>
      </c>
      <c r="E34" s="433" t="s">
        <v>513</v>
      </c>
      <c r="F34" s="425"/>
      <c r="G34" s="374"/>
      <c r="H34" s="422"/>
      <c r="I34" s="415"/>
      <c r="J34" s="420"/>
      <c r="K34" s="426"/>
      <c r="L34" s="415"/>
      <c r="M34" s="58">
        <f>I34*M132*L34*M116</f>
        <v>0</v>
      </c>
      <c r="N34" s="273"/>
    </row>
    <row r="35" spans="1:14" ht="20.100000000000001" customHeight="1" x14ac:dyDescent="0.25">
      <c r="A35" s="273"/>
      <c r="B35" s="365"/>
      <c r="C35" s="395" t="s">
        <v>519</v>
      </c>
      <c r="D35" s="394" t="s">
        <v>520</v>
      </c>
      <c r="E35" s="434" t="s">
        <v>521</v>
      </c>
      <c r="F35" s="458"/>
      <c r="G35" s="427"/>
      <c r="H35" s="459"/>
      <c r="I35" s="428"/>
      <c r="J35" s="415"/>
      <c r="K35" s="415"/>
      <c r="L35" s="415"/>
      <c r="M35" s="58">
        <f>(J35+(K35*0.2))*M133*L35*M116</f>
        <v>0</v>
      </c>
      <c r="N35" s="273"/>
    </row>
    <row r="36" spans="1:14" ht="20.100000000000001" customHeight="1" x14ac:dyDescent="0.25">
      <c r="A36" s="273"/>
      <c r="B36" s="365"/>
      <c r="C36" s="268"/>
      <c r="D36" s="269"/>
      <c r="E36" s="406"/>
      <c r="F36" s="402"/>
      <c r="G36" s="407"/>
      <c r="H36" s="408"/>
      <c r="I36" s="408"/>
      <c r="J36" s="408"/>
      <c r="K36" s="408"/>
      <c r="L36" s="408"/>
      <c r="M36" s="409"/>
      <c r="N36" s="273"/>
    </row>
    <row r="37" spans="1:14" ht="20.100000000000001" customHeight="1" x14ac:dyDescent="0.25">
      <c r="A37" s="273"/>
      <c r="B37" s="365"/>
      <c r="C37" s="451" t="s">
        <v>523</v>
      </c>
      <c r="D37" s="597"/>
      <c r="E37" s="597"/>
      <c r="F37" s="597"/>
      <c r="G37" s="597"/>
      <c r="H37" s="597"/>
      <c r="I37" s="456"/>
      <c r="J37" s="456"/>
      <c r="K37" s="456"/>
      <c r="L37" s="456"/>
      <c r="M37" s="457"/>
      <c r="N37" s="273"/>
    </row>
    <row r="38" spans="1:14" ht="20.100000000000001" customHeight="1" x14ac:dyDescent="0.25">
      <c r="A38" s="273"/>
      <c r="B38" s="365"/>
      <c r="C38" s="605" t="s">
        <v>495</v>
      </c>
      <c r="D38" s="606"/>
      <c r="E38" s="606"/>
      <c r="F38" s="606"/>
      <c r="G38" s="606"/>
      <c r="H38" s="606"/>
      <c r="I38" s="606"/>
      <c r="J38" s="606"/>
      <c r="K38" s="606"/>
      <c r="L38" s="606"/>
      <c r="M38" s="607"/>
      <c r="N38" s="273"/>
    </row>
    <row r="39" spans="1:14" ht="20.100000000000001" customHeight="1" x14ac:dyDescent="0.25">
      <c r="A39" s="273"/>
      <c r="B39" s="365"/>
      <c r="C39" s="437" t="s">
        <v>92</v>
      </c>
      <c r="D39" s="399" t="s">
        <v>496</v>
      </c>
      <c r="E39" s="435" t="s">
        <v>94</v>
      </c>
      <c r="F39" s="400" t="s">
        <v>497</v>
      </c>
      <c r="G39" s="400" t="s">
        <v>498</v>
      </c>
      <c r="H39" s="400" t="s">
        <v>499</v>
      </c>
      <c r="I39" s="436" t="s">
        <v>500</v>
      </c>
      <c r="J39" s="436" t="s">
        <v>501</v>
      </c>
      <c r="K39" s="436" t="s">
        <v>502</v>
      </c>
      <c r="L39" s="400" t="s">
        <v>503</v>
      </c>
      <c r="M39" s="438" t="s">
        <v>504</v>
      </c>
      <c r="N39" s="273"/>
    </row>
    <row r="40" spans="1:14" ht="20.100000000000001" customHeight="1" x14ac:dyDescent="0.25">
      <c r="A40" s="273"/>
      <c r="B40" s="365"/>
      <c r="C40" s="395" t="s">
        <v>505</v>
      </c>
      <c r="D40" s="394" t="s">
        <v>506</v>
      </c>
      <c r="E40" s="433" t="s">
        <v>507</v>
      </c>
      <c r="F40" s="455"/>
      <c r="G40" s="414"/>
      <c r="H40" s="415"/>
      <c r="I40" s="416"/>
      <c r="J40" s="417"/>
      <c r="K40" s="418"/>
      <c r="L40" s="415"/>
      <c r="M40" s="58">
        <f>(G40*M118)*L40*M116</f>
        <v>0</v>
      </c>
      <c r="N40" s="273"/>
    </row>
    <row r="41" spans="1:14" ht="20.100000000000001" customHeight="1" x14ac:dyDescent="0.25">
      <c r="A41" s="273"/>
      <c r="B41" s="365"/>
      <c r="C41" s="395" t="s">
        <v>508</v>
      </c>
      <c r="D41" s="394" t="s">
        <v>509</v>
      </c>
      <c r="E41" s="433" t="s">
        <v>510</v>
      </c>
      <c r="F41" s="414"/>
      <c r="G41" s="419"/>
      <c r="H41" s="415"/>
      <c r="I41" s="420"/>
      <c r="J41" s="421"/>
      <c r="K41" s="422"/>
      <c r="L41" s="415"/>
      <c r="M41" s="58">
        <f>F41*M119*(H41-H40)*L41*M116</f>
        <v>0</v>
      </c>
      <c r="N41" s="273"/>
    </row>
    <row r="42" spans="1:14" ht="20.100000000000001" customHeight="1" x14ac:dyDescent="0.25">
      <c r="A42" s="273"/>
      <c r="B42" s="365"/>
      <c r="C42" s="395" t="s">
        <v>511</v>
      </c>
      <c r="D42" s="394" t="s">
        <v>512</v>
      </c>
      <c r="E42" s="433" t="s">
        <v>513</v>
      </c>
      <c r="F42" s="423"/>
      <c r="G42" s="374"/>
      <c r="H42" s="418"/>
      <c r="I42" s="415"/>
      <c r="J42" s="424"/>
      <c r="K42" s="422"/>
      <c r="L42" s="415"/>
      <c r="M42" s="58">
        <f>I42*M120*L42*M116</f>
        <v>0</v>
      </c>
      <c r="N42" s="273"/>
    </row>
    <row r="43" spans="1:14" ht="20.100000000000001" customHeight="1" x14ac:dyDescent="0.25">
      <c r="A43" s="273"/>
      <c r="B43" s="365"/>
      <c r="C43" s="395" t="s">
        <v>511</v>
      </c>
      <c r="D43" s="394" t="s">
        <v>514</v>
      </c>
      <c r="E43" s="433" t="s">
        <v>513</v>
      </c>
      <c r="F43" s="425"/>
      <c r="G43" s="374"/>
      <c r="H43" s="422"/>
      <c r="I43" s="415"/>
      <c r="J43" s="424"/>
      <c r="K43" s="422"/>
      <c r="L43" s="415"/>
      <c r="M43" s="58">
        <f>I43*M121*L43*M116</f>
        <v>0</v>
      </c>
      <c r="N43" s="273"/>
    </row>
    <row r="44" spans="1:14" ht="20.100000000000001" customHeight="1" x14ac:dyDescent="0.25">
      <c r="A44" s="273"/>
      <c r="B44" s="365"/>
      <c r="C44" s="395" t="s">
        <v>511</v>
      </c>
      <c r="D44" s="394" t="s">
        <v>515</v>
      </c>
      <c r="E44" s="433" t="s">
        <v>513</v>
      </c>
      <c r="F44" s="425"/>
      <c r="G44" s="374"/>
      <c r="H44" s="422"/>
      <c r="I44" s="415"/>
      <c r="J44" s="424"/>
      <c r="K44" s="422"/>
      <c r="L44" s="415"/>
      <c r="M44" s="58">
        <f>I44*M122*L44*M116</f>
        <v>0</v>
      </c>
      <c r="N44" s="273"/>
    </row>
    <row r="45" spans="1:14" ht="20.100000000000001" customHeight="1" x14ac:dyDescent="0.25">
      <c r="A45" s="273"/>
      <c r="B45" s="365"/>
      <c r="C45" s="395" t="s">
        <v>511</v>
      </c>
      <c r="D45" s="395" t="s">
        <v>516</v>
      </c>
      <c r="E45" s="433" t="s">
        <v>513</v>
      </c>
      <c r="F45" s="425"/>
      <c r="G45" s="374"/>
      <c r="H45" s="422"/>
      <c r="I45" s="415"/>
      <c r="J45" s="424"/>
      <c r="K45" s="422"/>
      <c r="L45" s="415"/>
      <c r="M45" s="58">
        <f>I45*M123*L45*M116</f>
        <v>0</v>
      </c>
      <c r="N45" s="273"/>
    </row>
    <row r="46" spans="1:14" ht="20.100000000000001" customHeight="1" x14ac:dyDescent="0.25">
      <c r="A46" s="273"/>
      <c r="B46" s="365"/>
      <c r="C46" s="395" t="s">
        <v>511</v>
      </c>
      <c r="D46" s="395" t="s">
        <v>517</v>
      </c>
      <c r="E46" s="433" t="s">
        <v>513</v>
      </c>
      <c r="F46" s="425"/>
      <c r="G46" s="374"/>
      <c r="H46" s="422"/>
      <c r="I46" s="415"/>
      <c r="J46" s="424"/>
      <c r="K46" s="422"/>
      <c r="L46" s="415"/>
      <c r="M46" s="58">
        <f>I46*M124*L46*M116</f>
        <v>0</v>
      </c>
      <c r="N46" s="273"/>
    </row>
    <row r="47" spans="1:14" ht="20.100000000000001" customHeight="1" x14ac:dyDescent="0.25">
      <c r="A47" s="273"/>
      <c r="B47" s="365"/>
      <c r="C47" s="395" t="s">
        <v>511</v>
      </c>
      <c r="D47" s="394" t="s">
        <v>518</v>
      </c>
      <c r="E47" s="433" t="s">
        <v>513</v>
      </c>
      <c r="F47" s="425"/>
      <c r="G47" s="374"/>
      <c r="H47" s="422"/>
      <c r="I47" s="415"/>
      <c r="J47" s="420"/>
      <c r="K47" s="426"/>
      <c r="L47" s="415"/>
      <c r="M47" s="58">
        <f>I47*M125*L47*M116</f>
        <v>0</v>
      </c>
      <c r="N47" s="273"/>
    </row>
    <row r="48" spans="1:14" ht="20.100000000000001" customHeight="1" x14ac:dyDescent="0.25">
      <c r="A48" s="273"/>
      <c r="B48" s="365"/>
      <c r="C48" s="395" t="s">
        <v>519</v>
      </c>
      <c r="D48" s="394" t="s">
        <v>520</v>
      </c>
      <c r="E48" s="434" t="s">
        <v>521</v>
      </c>
      <c r="F48" s="425"/>
      <c r="G48" s="427"/>
      <c r="H48" s="421"/>
      <c r="I48" s="428"/>
      <c r="J48" s="415"/>
      <c r="K48" s="415"/>
      <c r="L48" s="415"/>
      <c r="M48" s="58">
        <f>(J48+(K48*0.2))*M126*L48*M116</f>
        <v>0</v>
      </c>
      <c r="N48" s="273"/>
    </row>
    <row r="49" spans="1:14" ht="20.100000000000001" customHeight="1" x14ac:dyDescent="0.25">
      <c r="A49" s="273"/>
      <c r="B49" s="365"/>
      <c r="C49" s="602" t="s">
        <v>522</v>
      </c>
      <c r="D49" s="603"/>
      <c r="E49" s="603"/>
      <c r="F49" s="603"/>
      <c r="G49" s="603"/>
      <c r="H49" s="603"/>
      <c r="I49" s="603"/>
      <c r="J49" s="603"/>
      <c r="K49" s="603"/>
      <c r="L49" s="603"/>
      <c r="M49" s="604"/>
      <c r="N49" s="273"/>
    </row>
    <row r="50" spans="1:14" ht="20.100000000000001" customHeight="1" x14ac:dyDescent="0.25">
      <c r="A50" s="273"/>
      <c r="B50" s="365"/>
      <c r="C50" s="437" t="s">
        <v>92</v>
      </c>
      <c r="D50" s="399" t="s">
        <v>496</v>
      </c>
      <c r="E50" s="435" t="s">
        <v>94</v>
      </c>
      <c r="F50" s="400" t="s">
        <v>497</v>
      </c>
      <c r="G50" s="400" t="s">
        <v>498</v>
      </c>
      <c r="H50" s="400" t="s">
        <v>499</v>
      </c>
      <c r="I50" s="436" t="s">
        <v>500</v>
      </c>
      <c r="J50" s="436" t="s">
        <v>501</v>
      </c>
      <c r="K50" s="436" t="s">
        <v>502</v>
      </c>
      <c r="L50" s="400" t="s">
        <v>503</v>
      </c>
      <c r="M50" s="438" t="s">
        <v>504</v>
      </c>
      <c r="N50" s="273"/>
    </row>
    <row r="51" spans="1:14" ht="20.100000000000001" customHeight="1" x14ac:dyDescent="0.25">
      <c r="A51" s="273"/>
      <c r="B51" s="365"/>
      <c r="C51" s="395" t="s">
        <v>505</v>
      </c>
      <c r="D51" s="394" t="s">
        <v>506</v>
      </c>
      <c r="E51" s="433" t="s">
        <v>507</v>
      </c>
      <c r="F51" s="419"/>
      <c r="G51" s="414"/>
      <c r="H51" s="416"/>
      <c r="I51" s="429"/>
      <c r="J51" s="417"/>
      <c r="K51" s="418"/>
      <c r="L51" s="415"/>
      <c r="M51" s="58">
        <f>(G51*M127)*L51*M116</f>
        <v>0</v>
      </c>
      <c r="N51" s="273"/>
    </row>
    <row r="52" spans="1:14" ht="20.100000000000001" customHeight="1" x14ac:dyDescent="0.25">
      <c r="A52" s="273"/>
      <c r="B52" s="365"/>
      <c r="C52" s="395" t="s">
        <v>511</v>
      </c>
      <c r="D52" s="394" t="s">
        <v>514</v>
      </c>
      <c r="E52" s="433" t="s">
        <v>513</v>
      </c>
      <c r="F52" s="425"/>
      <c r="G52" s="430"/>
      <c r="H52" s="422"/>
      <c r="I52" s="415"/>
      <c r="J52" s="424"/>
      <c r="K52" s="422"/>
      <c r="L52" s="415"/>
      <c r="M52" s="58">
        <f>I52*M128*L52*M116</f>
        <v>0</v>
      </c>
      <c r="N52" s="273"/>
    </row>
    <row r="53" spans="1:14" ht="20.100000000000001" customHeight="1" x14ac:dyDescent="0.25">
      <c r="A53" s="273"/>
      <c r="B53" s="365"/>
      <c r="C53" s="395" t="s">
        <v>511</v>
      </c>
      <c r="D53" s="394" t="s">
        <v>515</v>
      </c>
      <c r="E53" s="433" t="s">
        <v>513</v>
      </c>
      <c r="F53" s="425"/>
      <c r="G53" s="374"/>
      <c r="H53" s="422"/>
      <c r="I53" s="415"/>
      <c r="J53" s="424"/>
      <c r="K53" s="422"/>
      <c r="L53" s="415"/>
      <c r="M53" s="58">
        <f>I53*M129*L53*M116</f>
        <v>0</v>
      </c>
      <c r="N53" s="273"/>
    </row>
    <row r="54" spans="1:14" ht="20.100000000000001" customHeight="1" x14ac:dyDescent="0.25">
      <c r="A54" s="273"/>
      <c r="B54" s="365"/>
      <c r="C54" s="395" t="s">
        <v>511</v>
      </c>
      <c r="D54" s="395" t="s">
        <v>516</v>
      </c>
      <c r="E54" s="433" t="s">
        <v>513</v>
      </c>
      <c r="F54" s="425"/>
      <c r="G54" s="374"/>
      <c r="H54" s="422"/>
      <c r="I54" s="415"/>
      <c r="J54" s="424"/>
      <c r="K54" s="422"/>
      <c r="L54" s="415"/>
      <c r="M54" s="58">
        <f>I54*M130*L54*M116</f>
        <v>0</v>
      </c>
      <c r="N54" s="273"/>
    </row>
    <row r="55" spans="1:14" ht="20.100000000000001" customHeight="1" x14ac:dyDescent="0.25">
      <c r="A55" s="273"/>
      <c r="B55" s="365"/>
      <c r="C55" s="395" t="s">
        <v>511</v>
      </c>
      <c r="D55" s="395" t="s">
        <v>517</v>
      </c>
      <c r="E55" s="433" t="s">
        <v>513</v>
      </c>
      <c r="F55" s="425"/>
      <c r="G55" s="374"/>
      <c r="H55" s="422"/>
      <c r="I55" s="415"/>
      <c r="J55" s="424"/>
      <c r="K55" s="422"/>
      <c r="L55" s="415"/>
      <c r="M55" s="58">
        <f>I55*M131*L55*M116</f>
        <v>0</v>
      </c>
      <c r="N55" s="273"/>
    </row>
    <row r="56" spans="1:14" ht="20.100000000000001" customHeight="1" x14ac:dyDescent="0.25">
      <c r="A56" s="273"/>
      <c r="B56" s="365"/>
      <c r="C56" s="395" t="s">
        <v>511</v>
      </c>
      <c r="D56" s="394" t="s">
        <v>518</v>
      </c>
      <c r="E56" s="433" t="s">
        <v>513</v>
      </c>
      <c r="F56" s="425"/>
      <c r="G56" s="374"/>
      <c r="H56" s="422"/>
      <c r="I56" s="415"/>
      <c r="J56" s="420"/>
      <c r="K56" s="426"/>
      <c r="L56" s="415"/>
      <c r="M56" s="58">
        <f>I56*M132*L56*M116</f>
        <v>0</v>
      </c>
      <c r="N56" s="273"/>
    </row>
    <row r="57" spans="1:14" ht="20.100000000000001" customHeight="1" x14ac:dyDescent="0.25">
      <c r="A57" s="273"/>
      <c r="B57" s="365"/>
      <c r="C57" s="395" t="s">
        <v>519</v>
      </c>
      <c r="D57" s="394" t="s">
        <v>520</v>
      </c>
      <c r="E57" s="434" t="s">
        <v>521</v>
      </c>
      <c r="F57" s="458"/>
      <c r="G57" s="427"/>
      <c r="H57" s="459"/>
      <c r="I57" s="428"/>
      <c r="J57" s="415"/>
      <c r="K57" s="415"/>
      <c r="L57" s="415"/>
      <c r="M57" s="58">
        <f>(J57+(K57*0.2))*M133*L57*M116</f>
        <v>0</v>
      </c>
      <c r="N57" s="273"/>
    </row>
    <row r="58" spans="1:14" ht="20.100000000000001" customHeight="1" x14ac:dyDescent="0.25">
      <c r="A58" s="273"/>
      <c r="B58" s="365"/>
      <c r="C58" s="268"/>
      <c r="D58" s="269"/>
      <c r="E58" s="406"/>
      <c r="F58" s="402"/>
      <c r="G58" s="407"/>
      <c r="H58" s="408"/>
      <c r="I58" s="408"/>
      <c r="J58" s="408"/>
      <c r="K58" s="408"/>
      <c r="L58" s="408"/>
      <c r="M58" s="409"/>
      <c r="N58" s="273"/>
    </row>
    <row r="59" spans="1:14" ht="20.100000000000001" customHeight="1" x14ac:dyDescent="0.25">
      <c r="A59" s="273"/>
      <c r="B59" s="365"/>
      <c r="C59" s="451" t="s">
        <v>524</v>
      </c>
      <c r="D59" s="597"/>
      <c r="E59" s="597"/>
      <c r="F59" s="597"/>
      <c r="G59" s="597"/>
      <c r="H59" s="597"/>
      <c r="I59" s="456"/>
      <c r="J59" s="456"/>
      <c r="K59" s="456"/>
      <c r="L59" s="456"/>
      <c r="M59" s="457"/>
      <c r="N59" s="273"/>
    </row>
    <row r="60" spans="1:14" ht="20.100000000000001" customHeight="1" x14ac:dyDescent="0.25">
      <c r="A60" s="273"/>
      <c r="B60" s="365"/>
      <c r="C60" s="602" t="s">
        <v>495</v>
      </c>
      <c r="D60" s="603"/>
      <c r="E60" s="603"/>
      <c r="F60" s="603"/>
      <c r="G60" s="603"/>
      <c r="H60" s="603"/>
      <c r="I60" s="603"/>
      <c r="J60" s="603"/>
      <c r="K60" s="603"/>
      <c r="L60" s="603"/>
      <c r="M60" s="604"/>
      <c r="N60" s="273"/>
    </row>
    <row r="61" spans="1:14" ht="20.100000000000001" customHeight="1" x14ac:dyDescent="0.25">
      <c r="A61" s="273"/>
      <c r="B61" s="365"/>
      <c r="C61" s="437" t="s">
        <v>92</v>
      </c>
      <c r="D61" s="399" t="s">
        <v>496</v>
      </c>
      <c r="E61" s="435" t="s">
        <v>94</v>
      </c>
      <c r="F61" s="400" t="s">
        <v>497</v>
      </c>
      <c r="G61" s="400" t="s">
        <v>498</v>
      </c>
      <c r="H61" s="400" t="s">
        <v>499</v>
      </c>
      <c r="I61" s="436" t="s">
        <v>500</v>
      </c>
      <c r="J61" s="436" t="s">
        <v>501</v>
      </c>
      <c r="K61" s="436" t="s">
        <v>502</v>
      </c>
      <c r="L61" s="400" t="s">
        <v>503</v>
      </c>
      <c r="M61" s="438" t="s">
        <v>504</v>
      </c>
      <c r="N61" s="273"/>
    </row>
    <row r="62" spans="1:14" ht="20.100000000000001" customHeight="1" x14ac:dyDescent="0.25">
      <c r="A62" s="273"/>
      <c r="B62" s="365"/>
      <c r="C62" s="395" t="s">
        <v>505</v>
      </c>
      <c r="D62" s="394" t="s">
        <v>506</v>
      </c>
      <c r="E62" s="433" t="s">
        <v>507</v>
      </c>
      <c r="F62" s="455"/>
      <c r="G62" s="414"/>
      <c r="H62" s="415"/>
      <c r="I62" s="416"/>
      <c r="J62" s="417"/>
      <c r="K62" s="418"/>
      <c r="L62" s="415"/>
      <c r="M62" s="58">
        <f>(G62*M118)*L62*M116</f>
        <v>0</v>
      </c>
      <c r="N62" s="273"/>
    </row>
    <row r="63" spans="1:14" ht="20.100000000000001" customHeight="1" x14ac:dyDescent="0.25">
      <c r="A63" s="273"/>
      <c r="B63" s="365"/>
      <c r="C63" s="395" t="s">
        <v>508</v>
      </c>
      <c r="D63" s="394" t="s">
        <v>509</v>
      </c>
      <c r="E63" s="433" t="s">
        <v>510</v>
      </c>
      <c r="F63" s="414"/>
      <c r="G63" s="419"/>
      <c r="H63" s="415"/>
      <c r="I63" s="420"/>
      <c r="J63" s="421"/>
      <c r="K63" s="422"/>
      <c r="L63" s="415"/>
      <c r="M63" s="58">
        <f>F63*M119*(H63-H62)*L63*M116</f>
        <v>0</v>
      </c>
      <c r="N63" s="273"/>
    </row>
    <row r="64" spans="1:14" ht="20.100000000000001" customHeight="1" x14ac:dyDescent="0.25">
      <c r="A64" s="273"/>
      <c r="B64" s="365"/>
      <c r="C64" s="395" t="s">
        <v>511</v>
      </c>
      <c r="D64" s="394" t="s">
        <v>512</v>
      </c>
      <c r="E64" s="433" t="s">
        <v>513</v>
      </c>
      <c r="F64" s="423"/>
      <c r="G64" s="374"/>
      <c r="H64" s="418"/>
      <c r="I64" s="415"/>
      <c r="J64" s="424"/>
      <c r="K64" s="422"/>
      <c r="L64" s="415"/>
      <c r="M64" s="58">
        <f>I64*M120*L64*M116</f>
        <v>0</v>
      </c>
      <c r="N64" s="273"/>
    </row>
    <row r="65" spans="1:14" ht="20.100000000000001" customHeight="1" x14ac:dyDescent="0.25">
      <c r="A65" s="273"/>
      <c r="B65" s="365"/>
      <c r="C65" s="395" t="s">
        <v>511</v>
      </c>
      <c r="D65" s="394" t="s">
        <v>514</v>
      </c>
      <c r="E65" s="433" t="s">
        <v>513</v>
      </c>
      <c r="F65" s="425"/>
      <c r="G65" s="374"/>
      <c r="H65" s="422"/>
      <c r="I65" s="415"/>
      <c r="J65" s="424"/>
      <c r="K65" s="422"/>
      <c r="L65" s="415"/>
      <c r="M65" s="58">
        <f>I65*M121*L65*M116</f>
        <v>0</v>
      </c>
      <c r="N65" s="273"/>
    </row>
    <row r="66" spans="1:14" ht="20.100000000000001" customHeight="1" x14ac:dyDescent="0.25">
      <c r="A66" s="273"/>
      <c r="B66" s="365"/>
      <c r="C66" s="395" t="s">
        <v>511</v>
      </c>
      <c r="D66" s="394" t="s">
        <v>515</v>
      </c>
      <c r="E66" s="433" t="s">
        <v>513</v>
      </c>
      <c r="F66" s="425"/>
      <c r="G66" s="374"/>
      <c r="H66" s="422"/>
      <c r="I66" s="415"/>
      <c r="J66" s="424"/>
      <c r="K66" s="422"/>
      <c r="L66" s="415"/>
      <c r="M66" s="58">
        <f>I66*M122*L66*M116</f>
        <v>0</v>
      </c>
      <c r="N66" s="273"/>
    </row>
    <row r="67" spans="1:14" ht="20.100000000000001" customHeight="1" x14ac:dyDescent="0.25">
      <c r="A67" s="273"/>
      <c r="B67" s="365"/>
      <c r="C67" s="395" t="s">
        <v>511</v>
      </c>
      <c r="D67" s="395" t="s">
        <v>516</v>
      </c>
      <c r="E67" s="433" t="s">
        <v>513</v>
      </c>
      <c r="F67" s="425"/>
      <c r="G67" s="374"/>
      <c r="H67" s="422"/>
      <c r="I67" s="415"/>
      <c r="J67" s="424"/>
      <c r="K67" s="422"/>
      <c r="L67" s="415"/>
      <c r="M67" s="58">
        <f>I67*M123*L67*M116</f>
        <v>0</v>
      </c>
      <c r="N67" s="273"/>
    </row>
    <row r="68" spans="1:14" ht="20.100000000000001" customHeight="1" x14ac:dyDescent="0.25">
      <c r="A68" s="273"/>
      <c r="B68" s="365"/>
      <c r="C68" s="395" t="s">
        <v>511</v>
      </c>
      <c r="D68" s="395" t="s">
        <v>517</v>
      </c>
      <c r="E68" s="433" t="s">
        <v>513</v>
      </c>
      <c r="F68" s="425"/>
      <c r="G68" s="374"/>
      <c r="H68" s="422"/>
      <c r="I68" s="415"/>
      <c r="J68" s="424"/>
      <c r="K68" s="422"/>
      <c r="L68" s="415"/>
      <c r="M68" s="58">
        <f>I68*M124*L68*M116</f>
        <v>0</v>
      </c>
      <c r="N68" s="273"/>
    </row>
    <row r="69" spans="1:14" ht="20.100000000000001" customHeight="1" x14ac:dyDescent="0.25">
      <c r="A69" s="273"/>
      <c r="B69" s="365"/>
      <c r="C69" s="395" t="s">
        <v>511</v>
      </c>
      <c r="D69" s="394" t="s">
        <v>518</v>
      </c>
      <c r="E69" s="433" t="s">
        <v>513</v>
      </c>
      <c r="F69" s="425"/>
      <c r="G69" s="374"/>
      <c r="H69" s="422"/>
      <c r="I69" s="415"/>
      <c r="J69" s="420"/>
      <c r="K69" s="426"/>
      <c r="L69" s="415"/>
      <c r="M69" s="58">
        <f>I69*M125*L69*M116</f>
        <v>0</v>
      </c>
      <c r="N69" s="273"/>
    </row>
    <row r="70" spans="1:14" ht="20.100000000000001" customHeight="1" x14ac:dyDescent="0.25">
      <c r="A70" s="273"/>
      <c r="B70" s="365"/>
      <c r="C70" s="395" t="s">
        <v>519</v>
      </c>
      <c r="D70" s="394" t="s">
        <v>520</v>
      </c>
      <c r="E70" s="434" t="s">
        <v>521</v>
      </c>
      <c r="F70" s="425"/>
      <c r="G70" s="427"/>
      <c r="H70" s="421"/>
      <c r="I70" s="428"/>
      <c r="J70" s="415"/>
      <c r="K70" s="415"/>
      <c r="L70" s="415"/>
      <c r="M70" s="58">
        <f>(J70+(K70*0.2))*M126*L70*M116</f>
        <v>0</v>
      </c>
      <c r="N70" s="273"/>
    </row>
    <row r="71" spans="1:14" ht="20.100000000000001" customHeight="1" x14ac:dyDescent="0.25">
      <c r="A71" s="273"/>
      <c r="B71" s="365"/>
      <c r="C71" s="602" t="s">
        <v>522</v>
      </c>
      <c r="D71" s="603"/>
      <c r="E71" s="603"/>
      <c r="F71" s="603"/>
      <c r="G71" s="603"/>
      <c r="H71" s="603"/>
      <c r="I71" s="603"/>
      <c r="J71" s="603"/>
      <c r="K71" s="603"/>
      <c r="L71" s="603"/>
      <c r="M71" s="604"/>
      <c r="N71" s="273"/>
    </row>
    <row r="72" spans="1:14" ht="20.100000000000001" customHeight="1" x14ac:dyDescent="0.25">
      <c r="A72" s="273"/>
      <c r="B72" s="365"/>
      <c r="C72" s="437" t="s">
        <v>92</v>
      </c>
      <c r="D72" s="399" t="s">
        <v>496</v>
      </c>
      <c r="E72" s="435" t="s">
        <v>94</v>
      </c>
      <c r="F72" s="400" t="s">
        <v>497</v>
      </c>
      <c r="G72" s="400" t="s">
        <v>498</v>
      </c>
      <c r="H72" s="400" t="s">
        <v>499</v>
      </c>
      <c r="I72" s="436" t="s">
        <v>500</v>
      </c>
      <c r="J72" s="436" t="s">
        <v>501</v>
      </c>
      <c r="K72" s="436" t="s">
        <v>502</v>
      </c>
      <c r="L72" s="400" t="s">
        <v>503</v>
      </c>
      <c r="M72" s="438" t="s">
        <v>504</v>
      </c>
      <c r="N72" s="273"/>
    </row>
    <row r="73" spans="1:14" ht="20.100000000000001" customHeight="1" x14ac:dyDescent="0.25">
      <c r="A73" s="273"/>
      <c r="B73" s="365"/>
      <c r="C73" s="395" t="s">
        <v>505</v>
      </c>
      <c r="D73" s="394" t="s">
        <v>506</v>
      </c>
      <c r="E73" s="433" t="s">
        <v>507</v>
      </c>
      <c r="F73" s="419"/>
      <c r="G73" s="414"/>
      <c r="H73" s="416"/>
      <c r="I73" s="429"/>
      <c r="J73" s="417"/>
      <c r="K73" s="418"/>
      <c r="L73" s="415"/>
      <c r="M73" s="58">
        <f>(G73*M127)*L73*M116</f>
        <v>0</v>
      </c>
      <c r="N73" s="273"/>
    </row>
    <row r="74" spans="1:14" ht="20.100000000000001" customHeight="1" x14ac:dyDescent="0.25">
      <c r="A74" s="273"/>
      <c r="B74" s="365"/>
      <c r="C74" s="395" t="s">
        <v>511</v>
      </c>
      <c r="D74" s="394" t="s">
        <v>514</v>
      </c>
      <c r="E74" s="433" t="s">
        <v>513</v>
      </c>
      <c r="F74" s="425"/>
      <c r="G74" s="430"/>
      <c r="H74" s="422"/>
      <c r="I74" s="415"/>
      <c r="J74" s="424"/>
      <c r="K74" s="422"/>
      <c r="L74" s="415"/>
      <c r="M74" s="58">
        <f>I74*M128*L74*M116</f>
        <v>0</v>
      </c>
      <c r="N74" s="273"/>
    </row>
    <row r="75" spans="1:14" ht="20.100000000000001" customHeight="1" x14ac:dyDescent="0.25">
      <c r="A75" s="273"/>
      <c r="B75" s="365"/>
      <c r="C75" s="395" t="s">
        <v>511</v>
      </c>
      <c r="D75" s="394" t="s">
        <v>515</v>
      </c>
      <c r="E75" s="433" t="s">
        <v>513</v>
      </c>
      <c r="F75" s="425"/>
      <c r="G75" s="374"/>
      <c r="H75" s="422"/>
      <c r="I75" s="415"/>
      <c r="J75" s="424"/>
      <c r="K75" s="422"/>
      <c r="L75" s="415"/>
      <c r="M75" s="58">
        <f>I75*M129*L75*M116</f>
        <v>0</v>
      </c>
      <c r="N75" s="273"/>
    </row>
    <row r="76" spans="1:14" ht="20.100000000000001" customHeight="1" x14ac:dyDescent="0.25">
      <c r="A76" s="273"/>
      <c r="B76" s="365"/>
      <c r="C76" s="395" t="s">
        <v>511</v>
      </c>
      <c r="D76" s="395" t="s">
        <v>516</v>
      </c>
      <c r="E76" s="433" t="s">
        <v>513</v>
      </c>
      <c r="F76" s="425"/>
      <c r="G76" s="374"/>
      <c r="H76" s="422"/>
      <c r="I76" s="415"/>
      <c r="J76" s="424"/>
      <c r="K76" s="422"/>
      <c r="L76" s="415"/>
      <c r="M76" s="58">
        <f>I76*M130*L76*M116</f>
        <v>0</v>
      </c>
      <c r="N76" s="273"/>
    </row>
    <row r="77" spans="1:14" ht="20.100000000000001" customHeight="1" x14ac:dyDescent="0.25">
      <c r="A77" s="273"/>
      <c r="B77" s="365"/>
      <c r="C77" s="395" t="s">
        <v>511</v>
      </c>
      <c r="D77" s="395" t="s">
        <v>517</v>
      </c>
      <c r="E77" s="433" t="s">
        <v>513</v>
      </c>
      <c r="F77" s="425"/>
      <c r="G77" s="374"/>
      <c r="H77" s="422"/>
      <c r="I77" s="415"/>
      <c r="J77" s="424"/>
      <c r="K77" s="422"/>
      <c r="L77" s="415"/>
      <c r="M77" s="58">
        <f>I77*M131*L77*M116</f>
        <v>0</v>
      </c>
      <c r="N77" s="273"/>
    </row>
    <row r="78" spans="1:14" ht="20.100000000000001" customHeight="1" x14ac:dyDescent="0.25">
      <c r="A78" s="273"/>
      <c r="B78" s="365"/>
      <c r="C78" s="395" t="s">
        <v>511</v>
      </c>
      <c r="D78" s="394" t="s">
        <v>518</v>
      </c>
      <c r="E78" s="433" t="s">
        <v>513</v>
      </c>
      <c r="F78" s="425"/>
      <c r="G78" s="374"/>
      <c r="H78" s="422"/>
      <c r="I78" s="415"/>
      <c r="J78" s="420"/>
      <c r="K78" s="426"/>
      <c r="L78" s="415"/>
      <c r="M78" s="58">
        <f>I78*M132*L78*M116</f>
        <v>0</v>
      </c>
      <c r="N78" s="273"/>
    </row>
    <row r="79" spans="1:14" ht="20.100000000000001" customHeight="1" x14ac:dyDescent="0.25">
      <c r="A79" s="273"/>
      <c r="B79" s="365"/>
      <c r="C79" s="395" t="s">
        <v>519</v>
      </c>
      <c r="D79" s="394" t="s">
        <v>520</v>
      </c>
      <c r="E79" s="434" t="s">
        <v>521</v>
      </c>
      <c r="F79" s="458"/>
      <c r="G79" s="427"/>
      <c r="H79" s="459"/>
      <c r="I79" s="428"/>
      <c r="J79" s="415"/>
      <c r="K79" s="415"/>
      <c r="L79" s="415"/>
      <c r="M79" s="58">
        <f>(J79+(K79*0.2))*M133*L79*M116</f>
        <v>0</v>
      </c>
      <c r="N79" s="273"/>
    </row>
    <row r="80" spans="1:14" ht="20.100000000000001" customHeight="1" x14ac:dyDescent="0.25">
      <c r="A80" s="273"/>
      <c r="B80" s="365"/>
      <c r="C80" s="268"/>
      <c r="D80" s="269"/>
      <c r="E80" s="406"/>
      <c r="F80" s="402"/>
      <c r="G80" s="407"/>
      <c r="H80" s="408"/>
      <c r="I80" s="408"/>
      <c r="J80" s="408"/>
      <c r="K80" s="408"/>
      <c r="L80" s="408"/>
      <c r="M80" s="409"/>
      <c r="N80" s="273"/>
    </row>
    <row r="81" spans="1:14" ht="20.100000000000001" customHeight="1" x14ac:dyDescent="0.25">
      <c r="A81" s="273"/>
      <c r="B81" s="365"/>
      <c r="C81" s="451" t="s">
        <v>525</v>
      </c>
      <c r="D81" s="597"/>
      <c r="E81" s="597"/>
      <c r="F81" s="597"/>
      <c r="G81" s="597"/>
      <c r="H81" s="597"/>
      <c r="I81" s="456"/>
      <c r="J81" s="456"/>
      <c r="K81" s="456"/>
      <c r="L81" s="456"/>
      <c r="M81" s="457"/>
      <c r="N81" s="273"/>
    </row>
    <row r="82" spans="1:14" ht="20.100000000000001" customHeight="1" x14ac:dyDescent="0.25">
      <c r="A82" s="273"/>
      <c r="B82" s="365"/>
      <c r="C82" s="602" t="s">
        <v>495</v>
      </c>
      <c r="D82" s="603"/>
      <c r="E82" s="603"/>
      <c r="F82" s="603"/>
      <c r="G82" s="603"/>
      <c r="H82" s="603"/>
      <c r="I82" s="603"/>
      <c r="J82" s="603"/>
      <c r="K82" s="603"/>
      <c r="L82" s="603"/>
      <c r="M82" s="604"/>
      <c r="N82" s="273"/>
    </row>
    <row r="83" spans="1:14" ht="20.100000000000001" customHeight="1" x14ac:dyDescent="0.25">
      <c r="A83" s="273"/>
      <c r="B83" s="365"/>
      <c r="C83" s="437" t="s">
        <v>92</v>
      </c>
      <c r="D83" s="399" t="s">
        <v>496</v>
      </c>
      <c r="E83" s="435" t="s">
        <v>94</v>
      </c>
      <c r="F83" s="400" t="s">
        <v>497</v>
      </c>
      <c r="G83" s="400" t="s">
        <v>498</v>
      </c>
      <c r="H83" s="400" t="s">
        <v>499</v>
      </c>
      <c r="I83" s="436" t="s">
        <v>500</v>
      </c>
      <c r="J83" s="436" t="s">
        <v>501</v>
      </c>
      <c r="K83" s="436" t="s">
        <v>502</v>
      </c>
      <c r="L83" s="400" t="s">
        <v>503</v>
      </c>
      <c r="M83" s="438" t="s">
        <v>504</v>
      </c>
      <c r="N83" s="273"/>
    </row>
    <row r="84" spans="1:14" ht="20.100000000000001" customHeight="1" x14ac:dyDescent="0.25">
      <c r="A84" s="273"/>
      <c r="B84" s="365"/>
      <c r="C84" s="395" t="s">
        <v>505</v>
      </c>
      <c r="D84" s="394" t="s">
        <v>506</v>
      </c>
      <c r="E84" s="433" t="s">
        <v>507</v>
      </c>
      <c r="F84" s="455"/>
      <c r="G84" s="414"/>
      <c r="H84" s="415"/>
      <c r="I84" s="416"/>
      <c r="J84" s="417"/>
      <c r="K84" s="418"/>
      <c r="L84" s="415"/>
      <c r="M84" s="58">
        <f>(G84*M118)*L84*M116</f>
        <v>0</v>
      </c>
      <c r="N84" s="273"/>
    </row>
    <row r="85" spans="1:14" ht="20.100000000000001" customHeight="1" x14ac:dyDescent="0.25">
      <c r="A85" s="273"/>
      <c r="B85" s="365"/>
      <c r="C85" s="395" t="s">
        <v>508</v>
      </c>
      <c r="D85" s="394" t="s">
        <v>509</v>
      </c>
      <c r="E85" s="433" t="s">
        <v>510</v>
      </c>
      <c r="F85" s="414"/>
      <c r="G85" s="419"/>
      <c r="H85" s="415"/>
      <c r="I85" s="420"/>
      <c r="J85" s="421"/>
      <c r="K85" s="422"/>
      <c r="L85" s="415"/>
      <c r="M85" s="58">
        <f>F85*M119*(H85-H84)*L85*M116</f>
        <v>0</v>
      </c>
      <c r="N85" s="273"/>
    </row>
    <row r="86" spans="1:14" ht="20.100000000000001" customHeight="1" x14ac:dyDescent="0.25">
      <c r="A86" s="273"/>
      <c r="B86" s="365"/>
      <c r="C86" s="395" t="s">
        <v>511</v>
      </c>
      <c r="D86" s="394" t="s">
        <v>512</v>
      </c>
      <c r="E86" s="433" t="s">
        <v>513</v>
      </c>
      <c r="F86" s="423"/>
      <c r="G86" s="374"/>
      <c r="H86" s="418"/>
      <c r="I86" s="415"/>
      <c r="J86" s="424"/>
      <c r="K86" s="422"/>
      <c r="L86" s="415"/>
      <c r="M86" s="58">
        <f>I86*M120*L86*M116</f>
        <v>0</v>
      </c>
      <c r="N86" s="273"/>
    </row>
    <row r="87" spans="1:14" ht="20.100000000000001" customHeight="1" x14ac:dyDescent="0.25">
      <c r="A87" s="273"/>
      <c r="B87" s="365"/>
      <c r="C87" s="395" t="s">
        <v>511</v>
      </c>
      <c r="D87" s="394" t="s">
        <v>514</v>
      </c>
      <c r="E87" s="433" t="s">
        <v>513</v>
      </c>
      <c r="F87" s="425"/>
      <c r="G87" s="374"/>
      <c r="H87" s="422"/>
      <c r="I87" s="415"/>
      <c r="J87" s="424"/>
      <c r="K87" s="422"/>
      <c r="L87" s="415"/>
      <c r="M87" s="58">
        <f>I87*M121*L87*M116</f>
        <v>0</v>
      </c>
      <c r="N87" s="273"/>
    </row>
    <row r="88" spans="1:14" ht="20.100000000000001" customHeight="1" x14ac:dyDescent="0.25">
      <c r="A88" s="273"/>
      <c r="B88" s="365"/>
      <c r="C88" s="395" t="s">
        <v>511</v>
      </c>
      <c r="D88" s="394" t="s">
        <v>515</v>
      </c>
      <c r="E88" s="433" t="s">
        <v>513</v>
      </c>
      <c r="F88" s="425"/>
      <c r="G88" s="374"/>
      <c r="H88" s="422"/>
      <c r="I88" s="415"/>
      <c r="J88" s="424"/>
      <c r="K88" s="422"/>
      <c r="L88" s="415"/>
      <c r="M88" s="58">
        <f>I88*M122*L88*M116</f>
        <v>0</v>
      </c>
      <c r="N88" s="273"/>
    </row>
    <row r="89" spans="1:14" ht="20.100000000000001" customHeight="1" x14ac:dyDescent="0.25">
      <c r="A89" s="273"/>
      <c r="B89" s="365"/>
      <c r="C89" s="395" t="s">
        <v>511</v>
      </c>
      <c r="D89" s="395" t="s">
        <v>516</v>
      </c>
      <c r="E89" s="433" t="s">
        <v>513</v>
      </c>
      <c r="F89" s="425"/>
      <c r="G89" s="374"/>
      <c r="H89" s="422"/>
      <c r="I89" s="415"/>
      <c r="J89" s="424"/>
      <c r="K89" s="422"/>
      <c r="L89" s="415"/>
      <c r="M89" s="58">
        <f>I89*M123*L89*M116</f>
        <v>0</v>
      </c>
      <c r="N89" s="273"/>
    </row>
    <row r="90" spans="1:14" ht="20.100000000000001" customHeight="1" x14ac:dyDescent="0.25">
      <c r="A90" s="273"/>
      <c r="B90" s="365"/>
      <c r="C90" s="395" t="s">
        <v>511</v>
      </c>
      <c r="D90" s="395" t="s">
        <v>517</v>
      </c>
      <c r="E90" s="433" t="s">
        <v>513</v>
      </c>
      <c r="F90" s="425"/>
      <c r="G90" s="374"/>
      <c r="H90" s="422"/>
      <c r="I90" s="415"/>
      <c r="J90" s="424"/>
      <c r="K90" s="422"/>
      <c r="L90" s="415"/>
      <c r="M90" s="58">
        <f>I90*M124*L90*M116</f>
        <v>0</v>
      </c>
      <c r="N90" s="273"/>
    </row>
    <row r="91" spans="1:14" ht="20.100000000000001" customHeight="1" x14ac:dyDescent="0.25">
      <c r="A91" s="273"/>
      <c r="B91" s="365"/>
      <c r="C91" s="395" t="s">
        <v>511</v>
      </c>
      <c r="D91" s="394" t="s">
        <v>518</v>
      </c>
      <c r="E91" s="433" t="s">
        <v>513</v>
      </c>
      <c r="F91" s="425"/>
      <c r="G91" s="374"/>
      <c r="H91" s="422"/>
      <c r="I91" s="415"/>
      <c r="J91" s="420"/>
      <c r="K91" s="426"/>
      <c r="L91" s="415"/>
      <c r="M91" s="58">
        <f>I91*M125*L91*M116</f>
        <v>0</v>
      </c>
      <c r="N91" s="273"/>
    </row>
    <row r="92" spans="1:14" ht="20.100000000000001" customHeight="1" x14ac:dyDescent="0.25">
      <c r="A92" s="273"/>
      <c r="B92" s="365"/>
      <c r="C92" s="395" t="s">
        <v>519</v>
      </c>
      <c r="D92" s="394" t="s">
        <v>520</v>
      </c>
      <c r="E92" s="434" t="s">
        <v>521</v>
      </c>
      <c r="F92" s="425"/>
      <c r="G92" s="427"/>
      <c r="H92" s="421"/>
      <c r="I92" s="428"/>
      <c r="J92" s="415"/>
      <c r="K92" s="415"/>
      <c r="L92" s="415"/>
      <c r="M92" s="58">
        <f>(J92+(K92*0.2))*M126*L92*M116</f>
        <v>0</v>
      </c>
      <c r="N92" s="273"/>
    </row>
    <row r="93" spans="1:14" ht="20.100000000000001" customHeight="1" x14ac:dyDescent="0.25">
      <c r="A93" s="273"/>
      <c r="B93" s="365"/>
      <c r="C93" s="602" t="s">
        <v>522</v>
      </c>
      <c r="D93" s="603"/>
      <c r="E93" s="603"/>
      <c r="F93" s="603"/>
      <c r="G93" s="603"/>
      <c r="H93" s="603"/>
      <c r="I93" s="603"/>
      <c r="J93" s="603"/>
      <c r="K93" s="603"/>
      <c r="L93" s="603"/>
      <c r="M93" s="604"/>
      <c r="N93" s="273"/>
    </row>
    <row r="94" spans="1:14" ht="20.100000000000001" customHeight="1" x14ac:dyDescent="0.25">
      <c r="A94" s="273"/>
      <c r="B94" s="365"/>
      <c r="C94" s="437" t="s">
        <v>92</v>
      </c>
      <c r="D94" s="399" t="s">
        <v>496</v>
      </c>
      <c r="E94" s="435" t="s">
        <v>94</v>
      </c>
      <c r="F94" s="400" t="s">
        <v>497</v>
      </c>
      <c r="G94" s="400" t="s">
        <v>498</v>
      </c>
      <c r="H94" s="400" t="s">
        <v>499</v>
      </c>
      <c r="I94" s="436" t="s">
        <v>500</v>
      </c>
      <c r="J94" s="436" t="s">
        <v>501</v>
      </c>
      <c r="K94" s="436" t="s">
        <v>502</v>
      </c>
      <c r="L94" s="400" t="s">
        <v>503</v>
      </c>
      <c r="M94" s="438" t="s">
        <v>504</v>
      </c>
      <c r="N94" s="273"/>
    </row>
    <row r="95" spans="1:14" ht="20.100000000000001" customHeight="1" x14ac:dyDescent="0.25">
      <c r="A95" s="273"/>
      <c r="B95" s="365"/>
      <c r="C95" s="395" t="s">
        <v>505</v>
      </c>
      <c r="D95" s="394" t="s">
        <v>506</v>
      </c>
      <c r="E95" s="433" t="s">
        <v>507</v>
      </c>
      <c r="F95" s="419"/>
      <c r="G95" s="414"/>
      <c r="H95" s="416"/>
      <c r="I95" s="429"/>
      <c r="J95" s="417"/>
      <c r="K95" s="418"/>
      <c r="L95" s="415"/>
      <c r="M95" s="58">
        <f>(G95*M127)*L95*M116</f>
        <v>0</v>
      </c>
      <c r="N95" s="273"/>
    </row>
    <row r="96" spans="1:14" ht="20.100000000000001" customHeight="1" x14ac:dyDescent="0.25">
      <c r="A96" s="273"/>
      <c r="B96" s="365"/>
      <c r="C96" s="395" t="s">
        <v>511</v>
      </c>
      <c r="D96" s="394" t="s">
        <v>514</v>
      </c>
      <c r="E96" s="433" t="s">
        <v>513</v>
      </c>
      <c r="F96" s="425"/>
      <c r="G96" s="430"/>
      <c r="H96" s="422"/>
      <c r="I96" s="415"/>
      <c r="J96" s="424"/>
      <c r="K96" s="422"/>
      <c r="L96" s="415"/>
      <c r="M96" s="58">
        <f>I96*M128*L96*M116</f>
        <v>0</v>
      </c>
      <c r="N96" s="273"/>
    </row>
    <row r="97" spans="1:15" ht="20.100000000000001" customHeight="1" x14ac:dyDescent="0.25">
      <c r="A97" s="273"/>
      <c r="B97" s="365"/>
      <c r="C97" s="395" t="s">
        <v>511</v>
      </c>
      <c r="D97" s="394" t="s">
        <v>515</v>
      </c>
      <c r="E97" s="433" t="s">
        <v>513</v>
      </c>
      <c r="F97" s="425"/>
      <c r="G97" s="374"/>
      <c r="H97" s="422"/>
      <c r="I97" s="415"/>
      <c r="J97" s="424"/>
      <c r="K97" s="422"/>
      <c r="L97" s="415"/>
      <c r="M97" s="58">
        <f>I97*M129*L97*M116</f>
        <v>0</v>
      </c>
      <c r="N97" s="273"/>
    </row>
    <row r="98" spans="1:15" ht="20.100000000000001" customHeight="1" x14ac:dyDescent="0.25">
      <c r="A98" s="273"/>
      <c r="B98" s="365"/>
      <c r="C98" s="395" t="s">
        <v>511</v>
      </c>
      <c r="D98" s="395" t="s">
        <v>516</v>
      </c>
      <c r="E98" s="433" t="s">
        <v>513</v>
      </c>
      <c r="F98" s="425"/>
      <c r="G98" s="374"/>
      <c r="H98" s="422"/>
      <c r="I98" s="415"/>
      <c r="J98" s="424"/>
      <c r="K98" s="422"/>
      <c r="L98" s="415"/>
      <c r="M98" s="58">
        <f>I98*M130*L98*M116</f>
        <v>0</v>
      </c>
      <c r="N98" s="273"/>
    </row>
    <row r="99" spans="1:15" ht="20.100000000000001" customHeight="1" x14ac:dyDescent="0.25">
      <c r="A99" s="273"/>
      <c r="B99" s="365"/>
      <c r="C99" s="395" t="s">
        <v>511</v>
      </c>
      <c r="D99" s="395" t="s">
        <v>517</v>
      </c>
      <c r="E99" s="433" t="s">
        <v>513</v>
      </c>
      <c r="F99" s="425"/>
      <c r="G99" s="374"/>
      <c r="H99" s="422"/>
      <c r="I99" s="415"/>
      <c r="J99" s="424"/>
      <c r="K99" s="422"/>
      <c r="L99" s="415"/>
      <c r="M99" s="58">
        <f>I99*M131*L99*M116</f>
        <v>0</v>
      </c>
      <c r="N99" s="273"/>
    </row>
    <row r="100" spans="1:15" ht="20.100000000000001" customHeight="1" x14ac:dyDescent="0.25">
      <c r="A100" s="273"/>
      <c r="B100" s="365"/>
      <c r="C100" s="395" t="s">
        <v>511</v>
      </c>
      <c r="D100" s="394" t="s">
        <v>518</v>
      </c>
      <c r="E100" s="433" t="s">
        <v>513</v>
      </c>
      <c r="F100" s="425"/>
      <c r="G100" s="374"/>
      <c r="H100" s="422"/>
      <c r="I100" s="415"/>
      <c r="J100" s="420"/>
      <c r="K100" s="426"/>
      <c r="L100" s="415"/>
      <c r="M100" s="58">
        <f>I100*M132*L100*M116</f>
        <v>0</v>
      </c>
      <c r="N100" s="273"/>
    </row>
    <row r="101" spans="1:15" ht="20.100000000000001" customHeight="1" x14ac:dyDescent="0.25">
      <c r="A101" s="273"/>
      <c r="B101" s="365"/>
      <c r="C101" s="395" t="s">
        <v>519</v>
      </c>
      <c r="D101" s="394" t="s">
        <v>520</v>
      </c>
      <c r="E101" s="434" t="s">
        <v>521</v>
      </c>
      <c r="F101" s="458"/>
      <c r="G101" s="427"/>
      <c r="H101" s="459"/>
      <c r="I101" s="428"/>
      <c r="J101" s="415"/>
      <c r="K101" s="415"/>
      <c r="L101" s="415"/>
      <c r="M101" s="58">
        <f>(J101+(K101*0.2))*M133*L101*M116</f>
        <v>0</v>
      </c>
      <c r="N101" s="273"/>
    </row>
    <row r="102" spans="1:15" x14ac:dyDescent="0.25">
      <c r="A102" s="273"/>
      <c r="B102" s="286"/>
      <c r="C102" s="269"/>
      <c r="D102" s="269"/>
      <c r="E102" s="270"/>
      <c r="F102" s="270"/>
      <c r="G102" s="273"/>
      <c r="H102" s="273"/>
      <c r="I102" s="273"/>
      <c r="J102" s="273"/>
      <c r="K102" s="273"/>
      <c r="L102" s="273"/>
      <c r="M102" s="273"/>
      <c r="N102" s="273"/>
    </row>
    <row r="103" spans="1:15" s="151" customFormat="1" ht="24.95" customHeight="1" x14ac:dyDescent="0.25">
      <c r="A103" s="291"/>
      <c r="B103" s="145" t="s">
        <v>356</v>
      </c>
      <c r="C103" s="149"/>
      <c r="D103" s="150"/>
      <c r="E103" s="157"/>
      <c r="F103" s="149"/>
      <c r="G103" s="149"/>
      <c r="H103" s="149"/>
      <c r="I103" s="149"/>
      <c r="J103" s="149"/>
      <c r="K103" s="149"/>
      <c r="L103" s="149"/>
      <c r="M103" s="149"/>
      <c r="N103" s="291"/>
    </row>
    <row r="104" spans="1:15" ht="15.75" customHeight="1" x14ac:dyDescent="0.25">
      <c r="A104" s="273"/>
      <c r="B104" s="362"/>
      <c r="C104" s="275"/>
      <c r="D104" s="273"/>
      <c r="E104" s="274"/>
      <c r="F104" s="273"/>
      <c r="G104" s="273"/>
      <c r="H104" s="273"/>
      <c r="I104" s="273"/>
      <c r="J104" s="273"/>
      <c r="K104" s="273"/>
      <c r="L104" s="273"/>
      <c r="M104" s="273"/>
      <c r="N104" s="273"/>
    </row>
    <row r="105" spans="1:15" s="152" customFormat="1" ht="45" customHeight="1" x14ac:dyDescent="0.25">
      <c r="A105" s="323"/>
      <c r="B105" s="396" t="s">
        <v>357</v>
      </c>
      <c r="C105" s="276" t="s">
        <v>91</v>
      </c>
      <c r="D105" s="397"/>
      <c r="E105" s="397"/>
      <c r="F105" s="300"/>
      <c r="G105" s="300"/>
      <c r="H105" s="300"/>
      <c r="I105" s="300"/>
      <c r="J105" s="300"/>
      <c r="K105" s="300"/>
      <c r="L105" s="601" t="str">
        <f>IF(SUM(M106:M107)&gt;0,SUM(M106:M107),"Para simular a taxa aplicável, deve preencher os campos do formulário de acordo com a ocupação")</f>
        <v>Para simular a taxa aplicável, deve preencher os campos do formulário de acordo com a ocupação</v>
      </c>
      <c r="M105" s="601"/>
      <c r="N105" s="323"/>
    </row>
    <row r="106" spans="1:15" s="152" customFormat="1" ht="30" customHeight="1" x14ac:dyDescent="0.25">
      <c r="A106" s="323"/>
      <c r="B106" s="383" t="s">
        <v>360</v>
      </c>
      <c r="C106" s="587" t="s">
        <v>526</v>
      </c>
      <c r="D106" s="587"/>
      <c r="E106" s="304"/>
      <c r="F106" s="304" t="s">
        <v>527</v>
      </c>
      <c r="G106" s="303"/>
      <c r="H106" s="303"/>
      <c r="I106" s="303"/>
      <c r="J106" s="303"/>
      <c r="K106" s="303"/>
      <c r="L106" s="303"/>
      <c r="M106" s="303" t="str">
        <f>IF(M11="","Preencher 1",IF(M11="Prorrogação do prazo do título de ocupação da via pública","Não se aplica",IF(OR(M11="Aprovação do plano e emissão de licença de ocupação da via pública",M11="Alteração à licença de ocupação da via pública"),'SIMULADOR_TAXAS ADMINISTRATIVAS'!D88,"")))</f>
        <v>Preencher 1</v>
      </c>
      <c r="N106" s="323"/>
    </row>
    <row r="107" spans="1:15" s="154" customFormat="1" ht="15.95" customHeight="1" x14ac:dyDescent="0.25">
      <c r="A107" s="324"/>
      <c r="B107" s="383" t="s">
        <v>363</v>
      </c>
      <c r="C107" s="385" t="s">
        <v>528</v>
      </c>
      <c r="D107" s="304"/>
      <c r="E107" s="304"/>
      <c r="F107" s="304" t="s">
        <v>529</v>
      </c>
      <c r="G107" s="303"/>
      <c r="H107" s="303"/>
      <c r="I107" s="303"/>
      <c r="J107" s="303"/>
      <c r="K107" s="303"/>
      <c r="L107" s="303"/>
      <c r="M107" s="303" t="str">
        <f>IF(M11="","Preencher 1",IF(OR(M11="Aprovação do plano e emissão de licença de ocupação da via pública",M11="Alteração à licença de ocupação da via pública"),"Não se aplica",IF(M11="Prorrogação do prazo do título de ocupação da via pública",'SIMULADOR_TAXAS ADMINISTRATIVAS'!D90,"")))</f>
        <v>Preencher 1</v>
      </c>
      <c r="N107" s="324"/>
    </row>
    <row r="108" spans="1:15" s="154" customFormat="1" ht="15" x14ac:dyDescent="0.25">
      <c r="A108" s="324"/>
      <c r="B108" s="362"/>
      <c r="C108" s="298"/>
      <c r="D108" s="269"/>
      <c r="E108" s="303"/>
      <c r="F108" s="303"/>
      <c r="G108" s="303"/>
      <c r="H108" s="303"/>
      <c r="I108" s="303"/>
      <c r="J108" s="303"/>
      <c r="K108" s="303"/>
      <c r="L108" s="303"/>
      <c r="M108" s="303"/>
      <c r="N108" s="324"/>
    </row>
    <row r="109" spans="1:15" s="154" customFormat="1" ht="45" customHeight="1" x14ac:dyDescent="0.25">
      <c r="A109" s="324"/>
      <c r="B109" s="396" t="s">
        <v>357</v>
      </c>
      <c r="C109" s="276" t="s">
        <v>530</v>
      </c>
      <c r="D109" s="306"/>
      <c r="E109" s="398"/>
      <c r="F109" s="600" t="s">
        <v>531</v>
      </c>
      <c r="G109" s="600"/>
      <c r="H109" s="300"/>
      <c r="I109" s="300"/>
      <c r="J109" s="300"/>
      <c r="K109" s="300"/>
      <c r="L109" s="601" t="str">
        <f>IF(SUM(M18:M26,M29:M35,M40:M48,M51:M57,M62:M70,M73:M79,M84:M92,M95:M101)=0,"Para simular a taxa aplicável, deve preencher os campos do formulário de acordo com a ocupação",SUM(M18:M26,M29:M35,M40:M48,M51:M57,M62:M70,M73:M79,M84:M92,M95:M101))</f>
        <v>Para simular a taxa aplicável, deve preencher os campos do formulário de acordo com a ocupação</v>
      </c>
      <c r="M109" s="601"/>
      <c r="N109" s="323"/>
      <c r="O109" s="152"/>
    </row>
    <row r="110" spans="1:15" s="154" customFormat="1" ht="15.95" customHeight="1" x14ac:dyDescent="0.25">
      <c r="A110" s="324"/>
      <c r="B110" s="396"/>
      <c r="C110" s="276"/>
      <c r="D110" s="306"/>
      <c r="E110" s="398"/>
      <c r="F110" s="358"/>
      <c r="G110" s="358"/>
      <c r="H110" s="300"/>
      <c r="I110" s="300"/>
      <c r="J110" s="300"/>
      <c r="K110" s="300"/>
      <c r="L110" s="300"/>
      <c r="M110" s="300"/>
      <c r="N110" s="323"/>
      <c r="O110" s="152"/>
    </row>
    <row r="111" spans="1:15" s="154" customFormat="1" ht="45" customHeight="1" x14ac:dyDescent="0.25">
      <c r="A111" s="324"/>
      <c r="B111" s="410" t="s">
        <v>357</v>
      </c>
      <c r="C111" s="326" t="s">
        <v>469</v>
      </c>
      <c r="D111" s="411"/>
      <c r="E111" s="412"/>
      <c r="F111" s="413"/>
      <c r="G111" s="413"/>
      <c r="H111" s="312"/>
      <c r="I111" s="312"/>
      <c r="J111" s="312"/>
      <c r="K111" s="312"/>
      <c r="L111" s="599" t="str">
        <f>IF(OR(L105="Para simular a taxa aplicável, deve preencher os campos do formulário de acordo com a ocupação",L109="Para simular a taxa aplicável, deve preencher os campos do formulário de acordo com a ocupação"),"Para apurar valor, deve preencher os campos do formulário de acordo com a ocupação",IF(AND(L105="Não se aplica",L109="Não se aplica"),"Não se aplica",IF(SUM(L105,L109)&gt;0,SUM(L105,L109))))</f>
        <v>Para apurar valor, deve preencher os campos do formulário de acordo com a ocupação</v>
      </c>
      <c r="M111" s="599"/>
      <c r="N111" s="323"/>
      <c r="O111" s="152"/>
    </row>
    <row r="112" spans="1:15" ht="15.75" customHeight="1" x14ac:dyDescent="0.25">
      <c r="A112" s="273"/>
      <c r="B112" s="362"/>
      <c r="C112" s="275"/>
      <c r="D112" s="273"/>
      <c r="E112" s="274"/>
      <c r="F112" s="273"/>
      <c r="G112" s="273"/>
      <c r="H112" s="273"/>
      <c r="I112" s="273"/>
      <c r="J112" s="273"/>
      <c r="K112" s="273"/>
      <c r="L112" s="273"/>
      <c r="M112" s="273"/>
      <c r="N112" s="273"/>
    </row>
    <row r="113" spans="1:15" ht="24.95" customHeight="1" x14ac:dyDescent="0.25">
      <c r="A113" s="273"/>
      <c r="B113" s="145" t="s">
        <v>70</v>
      </c>
      <c r="C113" s="149"/>
      <c r="D113" s="150"/>
      <c r="E113" s="157"/>
      <c r="F113" s="149"/>
      <c r="G113" s="149"/>
      <c r="H113" s="149"/>
      <c r="I113" s="149"/>
      <c r="J113" s="149"/>
      <c r="K113" s="149"/>
      <c r="L113" s="149"/>
      <c r="M113" s="149"/>
      <c r="N113" s="291"/>
      <c r="O113" s="151"/>
    </row>
    <row r="114" spans="1:15" ht="15.75" customHeight="1" x14ac:dyDescent="0.25">
      <c r="A114" s="273"/>
      <c r="B114" s="272"/>
      <c r="C114" s="291"/>
      <c r="D114" s="292"/>
      <c r="E114" s="293"/>
      <c r="F114" s="291"/>
      <c r="G114" s="291"/>
      <c r="H114" s="291"/>
      <c r="I114" s="291"/>
      <c r="J114" s="291"/>
      <c r="K114" s="291"/>
      <c r="L114" s="291"/>
      <c r="M114" s="291"/>
      <c r="N114" s="291"/>
      <c r="O114" s="151"/>
    </row>
    <row r="115" spans="1:15" s="151" customFormat="1" ht="15.95" customHeight="1" x14ac:dyDescent="0.25">
      <c r="A115" s="291"/>
      <c r="B115" s="301" t="s">
        <v>381</v>
      </c>
      <c r="C115" s="304" t="s">
        <v>382</v>
      </c>
      <c r="D115" s="315"/>
      <c r="E115" s="291"/>
      <c r="F115" s="323"/>
      <c r="G115" s="323"/>
      <c r="H115" s="323"/>
      <c r="I115" s="323"/>
      <c r="J115" s="323"/>
      <c r="K115" s="323"/>
      <c r="L115" s="323"/>
      <c r="M115" s="316">
        <f>TABELAS_COEFICIENTES!B2</f>
        <v>94.08</v>
      </c>
      <c r="N115" s="323"/>
      <c r="O115" s="152"/>
    </row>
    <row r="116" spans="1:15" s="152" customFormat="1" ht="15.75" customHeight="1" x14ac:dyDescent="0.25">
      <c r="A116" s="323"/>
      <c r="B116" s="301" t="s">
        <v>532</v>
      </c>
      <c r="C116" s="304" t="s">
        <v>533</v>
      </c>
      <c r="D116" s="315"/>
      <c r="E116" s="323"/>
      <c r="F116" s="323"/>
      <c r="G116" s="323"/>
      <c r="H116" s="323"/>
      <c r="I116" s="323"/>
      <c r="J116" s="323"/>
      <c r="K116" s="323"/>
      <c r="L116" s="323"/>
      <c r="M116" s="316">
        <f>TABELAS_COEFICIENTES!B3</f>
        <v>13.07</v>
      </c>
      <c r="N116" s="323"/>
    </row>
    <row r="117" spans="1:15" s="152" customFormat="1" ht="15.75" customHeight="1" x14ac:dyDescent="0.25">
      <c r="A117" s="323"/>
      <c r="B117" s="301" t="s">
        <v>534</v>
      </c>
      <c r="C117" s="304" t="s">
        <v>535</v>
      </c>
      <c r="D117" s="315"/>
      <c r="E117" s="323"/>
      <c r="F117" s="323"/>
      <c r="G117" s="323"/>
      <c r="H117" s="323"/>
      <c r="I117" s="323"/>
      <c r="J117" s="323"/>
      <c r="K117" s="323"/>
      <c r="L117" s="323"/>
      <c r="M117" s="316"/>
      <c r="N117" s="323"/>
    </row>
    <row r="118" spans="1:15" s="152" customFormat="1" ht="15.75" customHeight="1" x14ac:dyDescent="0.25">
      <c r="A118" s="323"/>
      <c r="B118" s="301"/>
      <c r="C118" s="304"/>
      <c r="D118" s="320" t="s">
        <v>536</v>
      </c>
      <c r="E118" s="450" t="s">
        <v>506</v>
      </c>
      <c r="F118" s="323"/>
      <c r="G118" s="323"/>
      <c r="H118" s="323"/>
      <c r="I118" s="323"/>
      <c r="J118" s="323"/>
      <c r="K118" s="323"/>
      <c r="L118" s="323"/>
      <c r="M118" s="462">
        <f>TABELAS_COEFICIENTES!E11</f>
        <v>0.6</v>
      </c>
      <c r="N118" s="323"/>
    </row>
    <row r="119" spans="1:15" s="152" customFormat="1" ht="15.75" customHeight="1" x14ac:dyDescent="0.25">
      <c r="A119" s="323"/>
      <c r="B119" s="301"/>
      <c r="C119" s="304"/>
      <c r="D119" s="450"/>
      <c r="E119" s="450" t="s">
        <v>509</v>
      </c>
      <c r="F119" s="323"/>
      <c r="G119" s="323"/>
      <c r="H119" s="323"/>
      <c r="I119" s="323"/>
      <c r="J119" s="323"/>
      <c r="K119" s="323"/>
      <c r="L119" s="323"/>
      <c r="M119" s="462">
        <f>TABELAS_COEFICIENTES!E12</f>
        <v>0.15</v>
      </c>
      <c r="N119" s="323"/>
    </row>
    <row r="120" spans="1:15" s="152" customFormat="1" ht="15.75" customHeight="1" x14ac:dyDescent="0.25">
      <c r="A120" s="323"/>
      <c r="B120" s="301"/>
      <c r="C120" s="304"/>
      <c r="D120" s="450"/>
      <c r="E120" s="450" t="s">
        <v>512</v>
      </c>
      <c r="F120" s="323"/>
      <c r="G120" s="323"/>
      <c r="H120" s="323"/>
      <c r="I120" s="323"/>
      <c r="J120" s="323"/>
      <c r="K120" s="323"/>
      <c r="L120" s="323"/>
      <c r="M120" s="462">
        <f>TABELAS_COEFICIENTES!E13</f>
        <v>7</v>
      </c>
      <c r="N120" s="323"/>
    </row>
    <row r="121" spans="1:15" s="152" customFormat="1" ht="15.75" customHeight="1" x14ac:dyDescent="0.25">
      <c r="A121" s="323"/>
      <c r="B121" s="301"/>
      <c r="C121" s="304"/>
      <c r="D121" s="450"/>
      <c r="E121" s="450" t="s">
        <v>514</v>
      </c>
      <c r="F121" s="323"/>
      <c r="G121" s="323"/>
      <c r="H121" s="323"/>
      <c r="I121" s="323"/>
      <c r="J121" s="323"/>
      <c r="K121" s="323"/>
      <c r="L121" s="323"/>
      <c r="M121" s="462">
        <f>TABELAS_COEFICIENTES!E14</f>
        <v>7</v>
      </c>
      <c r="N121" s="323"/>
    </row>
    <row r="122" spans="1:15" s="152" customFormat="1" ht="15.75" customHeight="1" x14ac:dyDescent="0.25">
      <c r="A122" s="323"/>
      <c r="B122" s="301"/>
      <c r="C122" s="304"/>
      <c r="D122" s="450"/>
      <c r="E122" s="450" t="s">
        <v>515</v>
      </c>
      <c r="F122" s="323"/>
      <c r="G122" s="323"/>
      <c r="H122" s="323"/>
      <c r="I122" s="323"/>
      <c r="J122" s="323"/>
      <c r="K122" s="323"/>
      <c r="L122" s="323"/>
      <c r="M122" s="462">
        <f>TABELAS_COEFICIENTES!E15</f>
        <v>9</v>
      </c>
      <c r="N122" s="323"/>
    </row>
    <row r="123" spans="1:15" s="152" customFormat="1" ht="15.75" customHeight="1" x14ac:dyDescent="0.25">
      <c r="A123" s="323"/>
      <c r="B123" s="301"/>
      <c r="C123" s="304"/>
      <c r="D123" s="450"/>
      <c r="E123" s="450" t="s">
        <v>516</v>
      </c>
      <c r="F123" s="323"/>
      <c r="G123" s="323"/>
      <c r="H123" s="323"/>
      <c r="I123" s="323"/>
      <c r="J123" s="323"/>
      <c r="K123" s="323"/>
      <c r="L123" s="323"/>
      <c r="M123" s="462">
        <f>TABELAS_COEFICIENTES!E16</f>
        <v>7</v>
      </c>
      <c r="N123" s="323"/>
    </row>
    <row r="124" spans="1:15" s="152" customFormat="1" ht="15.75" customHeight="1" x14ac:dyDescent="0.25">
      <c r="A124" s="323"/>
      <c r="B124" s="301"/>
      <c r="C124" s="304"/>
      <c r="D124" s="450"/>
      <c r="E124" s="450" t="s">
        <v>517</v>
      </c>
      <c r="F124" s="323"/>
      <c r="G124" s="323"/>
      <c r="H124" s="323"/>
      <c r="I124" s="323"/>
      <c r="J124" s="323"/>
      <c r="K124" s="323"/>
      <c r="L124" s="323"/>
      <c r="M124" s="462">
        <f>TABELAS_COEFICIENTES!E17</f>
        <v>21</v>
      </c>
      <c r="N124" s="323"/>
    </row>
    <row r="125" spans="1:15" s="152" customFormat="1" ht="15.75" customHeight="1" x14ac:dyDescent="0.25">
      <c r="A125" s="323"/>
      <c r="B125" s="301"/>
      <c r="C125" s="304"/>
      <c r="D125" s="450"/>
      <c r="E125" s="450" t="s">
        <v>518</v>
      </c>
      <c r="F125" s="323"/>
      <c r="G125" s="323"/>
      <c r="H125" s="323"/>
      <c r="I125" s="323"/>
      <c r="J125" s="323"/>
      <c r="K125" s="323"/>
      <c r="L125" s="323"/>
      <c r="M125" s="462">
        <f>TABELAS_COEFICIENTES!E18</f>
        <v>14</v>
      </c>
      <c r="N125" s="323"/>
    </row>
    <row r="126" spans="1:15" s="152" customFormat="1" ht="15.75" customHeight="1" x14ac:dyDescent="0.25">
      <c r="A126" s="323"/>
      <c r="B126" s="301"/>
      <c r="C126" s="304"/>
      <c r="D126" s="450"/>
      <c r="E126" s="450" t="s">
        <v>520</v>
      </c>
      <c r="F126" s="323"/>
      <c r="G126" s="323"/>
      <c r="H126" s="323"/>
      <c r="I126" s="323"/>
      <c r="J126" s="323"/>
      <c r="K126" s="323"/>
      <c r="L126" s="323"/>
      <c r="M126" s="462">
        <f>TABELAS_COEFICIENTES!E20</f>
        <v>12</v>
      </c>
      <c r="N126" s="323"/>
    </row>
    <row r="127" spans="1:15" s="152" customFormat="1" ht="15.75" customHeight="1" x14ac:dyDescent="0.25">
      <c r="A127" s="323"/>
      <c r="B127" s="301"/>
      <c r="C127" s="304"/>
      <c r="D127" s="320" t="s">
        <v>537</v>
      </c>
      <c r="E127" s="450" t="s">
        <v>506</v>
      </c>
      <c r="F127" s="323"/>
      <c r="G127" s="323"/>
      <c r="H127" s="323"/>
      <c r="I127" s="323"/>
      <c r="J127" s="323"/>
      <c r="K127" s="323"/>
      <c r="L127" s="323"/>
      <c r="M127" s="462">
        <f>TABELAS_COEFICIENTES!F11</f>
        <v>0.65</v>
      </c>
      <c r="N127" s="323"/>
    </row>
    <row r="128" spans="1:15" s="152" customFormat="1" ht="15.75" customHeight="1" x14ac:dyDescent="0.25">
      <c r="A128" s="323"/>
      <c r="B128" s="301"/>
      <c r="C128" s="304"/>
      <c r="D128" s="315"/>
      <c r="E128" s="450" t="s">
        <v>514</v>
      </c>
      <c r="F128" s="323"/>
      <c r="G128" s="323"/>
      <c r="H128" s="323"/>
      <c r="I128" s="323"/>
      <c r="J128" s="323"/>
      <c r="K128" s="323"/>
      <c r="L128" s="323"/>
      <c r="M128" s="462">
        <f>TABELAS_COEFICIENTES!F14</f>
        <v>9</v>
      </c>
      <c r="N128" s="323"/>
    </row>
    <row r="129" spans="1:15" s="152" customFormat="1" ht="15.75" customHeight="1" x14ac:dyDescent="0.25">
      <c r="A129" s="323"/>
      <c r="B129" s="301"/>
      <c r="C129" s="304"/>
      <c r="D129" s="315"/>
      <c r="E129" s="450" t="s">
        <v>515</v>
      </c>
      <c r="F129" s="323"/>
      <c r="G129" s="323"/>
      <c r="H129" s="323"/>
      <c r="I129" s="323"/>
      <c r="J129" s="323"/>
      <c r="K129" s="323"/>
      <c r="L129" s="323"/>
      <c r="M129" s="462">
        <f>TABELAS_COEFICIENTES!F15</f>
        <v>12</v>
      </c>
      <c r="N129" s="323"/>
    </row>
    <row r="130" spans="1:15" s="152" customFormat="1" ht="15.75" customHeight="1" x14ac:dyDescent="0.25">
      <c r="A130" s="323"/>
      <c r="B130" s="301"/>
      <c r="C130" s="304"/>
      <c r="D130" s="315"/>
      <c r="E130" s="450" t="s">
        <v>516</v>
      </c>
      <c r="F130" s="323"/>
      <c r="G130" s="323"/>
      <c r="H130" s="323"/>
      <c r="I130" s="323"/>
      <c r="J130" s="323"/>
      <c r="K130" s="323"/>
      <c r="L130" s="323"/>
      <c r="M130" s="462">
        <f>TABELAS_COEFICIENTES!F16</f>
        <v>9</v>
      </c>
      <c r="N130" s="323"/>
    </row>
    <row r="131" spans="1:15" s="152" customFormat="1" ht="15.75" customHeight="1" x14ac:dyDescent="0.25">
      <c r="A131" s="323"/>
      <c r="B131" s="301"/>
      <c r="C131" s="304"/>
      <c r="D131" s="315"/>
      <c r="E131" s="450" t="s">
        <v>517</v>
      </c>
      <c r="F131" s="323"/>
      <c r="G131" s="323"/>
      <c r="H131" s="323"/>
      <c r="I131" s="323"/>
      <c r="J131" s="323"/>
      <c r="K131" s="323"/>
      <c r="L131" s="323"/>
      <c r="M131" s="462">
        <f>TABELAS_COEFICIENTES!F17</f>
        <v>23</v>
      </c>
      <c r="N131" s="323"/>
    </row>
    <row r="132" spans="1:15" s="152" customFormat="1" ht="15.75" customHeight="1" x14ac:dyDescent="0.25">
      <c r="A132" s="323"/>
      <c r="B132" s="301"/>
      <c r="C132" s="304"/>
      <c r="D132" s="315"/>
      <c r="E132" s="450" t="s">
        <v>518</v>
      </c>
      <c r="F132" s="323"/>
      <c r="G132" s="323"/>
      <c r="H132" s="323"/>
      <c r="I132" s="323"/>
      <c r="J132" s="323"/>
      <c r="K132" s="323"/>
      <c r="L132" s="323"/>
      <c r="M132" s="462">
        <f>TABELAS_COEFICIENTES!F18</f>
        <v>16</v>
      </c>
      <c r="N132" s="323"/>
    </row>
    <row r="133" spans="1:15" s="152" customFormat="1" ht="15.75" customHeight="1" x14ac:dyDescent="0.25">
      <c r="A133" s="323"/>
      <c r="B133" s="301"/>
      <c r="C133" s="304"/>
      <c r="D133" s="315"/>
      <c r="E133" s="450" t="s">
        <v>520</v>
      </c>
      <c r="F133" s="323"/>
      <c r="G133" s="323"/>
      <c r="H133" s="323"/>
      <c r="I133" s="323"/>
      <c r="J133" s="323"/>
      <c r="K133" s="323"/>
      <c r="L133" s="323"/>
      <c r="M133" s="462">
        <f>TABELAS_COEFICIENTES!F20</f>
        <v>14</v>
      </c>
      <c r="N133" s="323"/>
    </row>
    <row r="134" spans="1:15" s="152" customFormat="1" ht="15.75" customHeight="1" x14ac:dyDescent="0.25">
      <c r="A134" s="323"/>
      <c r="B134" s="331"/>
      <c r="C134" s="387"/>
      <c r="D134" s="361"/>
      <c r="E134" s="431"/>
      <c r="F134" s="431"/>
      <c r="G134" s="431"/>
      <c r="H134" s="431"/>
      <c r="I134" s="431"/>
      <c r="J134" s="431"/>
      <c r="K134" s="431"/>
      <c r="L134" s="431"/>
      <c r="M134" s="463"/>
      <c r="N134" s="323"/>
    </row>
    <row r="135" spans="1:15" s="152" customFormat="1" ht="15.75" customHeight="1" x14ac:dyDescent="0.25">
      <c r="A135" s="323"/>
      <c r="B135" s="267"/>
      <c r="C135" s="319"/>
      <c r="D135" s="319"/>
      <c r="E135" s="319"/>
      <c r="F135" s="319"/>
      <c r="G135" s="273"/>
      <c r="H135" s="273"/>
      <c r="I135" s="273"/>
      <c r="J135" s="273"/>
      <c r="K135" s="273"/>
      <c r="L135" s="273"/>
      <c r="M135" s="273"/>
      <c r="N135" s="273"/>
      <c r="O135" s="143"/>
    </row>
    <row r="136" spans="1:15" s="152" customFormat="1" ht="15.75" customHeight="1" x14ac:dyDescent="0.25">
      <c r="A136" s="323"/>
      <c r="B136" s="301" t="s">
        <v>276</v>
      </c>
      <c r="C136" s="314" t="s">
        <v>277</v>
      </c>
      <c r="D136" s="319"/>
      <c r="E136" s="319"/>
      <c r="F136" s="319"/>
      <c r="G136" s="273"/>
      <c r="H136" s="273"/>
      <c r="I136" s="273"/>
      <c r="J136" s="273"/>
      <c r="K136" s="273"/>
      <c r="L136" s="273"/>
      <c r="M136" s="273"/>
      <c r="N136" s="273"/>
      <c r="O136" s="143"/>
    </row>
    <row r="137" spans="1:15" ht="15.75" customHeight="1" x14ac:dyDescent="0.25">
      <c r="A137" s="273"/>
      <c r="B137" s="267"/>
      <c r="C137" s="306" t="s">
        <v>278</v>
      </c>
      <c r="D137" s="273"/>
      <c r="E137" s="274"/>
      <c r="F137" s="273"/>
      <c r="G137" s="273"/>
      <c r="H137" s="273"/>
      <c r="I137" s="273"/>
      <c r="J137" s="273"/>
      <c r="K137" s="273"/>
      <c r="L137" s="273"/>
      <c r="M137" s="273"/>
      <c r="N137" s="273"/>
    </row>
    <row r="138" spans="1:15" ht="15.75" customHeight="1" x14ac:dyDescent="0.25">
      <c r="A138" s="273"/>
      <c r="B138" s="267"/>
      <c r="C138" s="304" t="s">
        <v>279</v>
      </c>
      <c r="D138" s="273"/>
      <c r="E138" s="274"/>
      <c r="F138" s="273"/>
      <c r="G138" s="273"/>
      <c r="H138" s="273"/>
      <c r="I138" s="273"/>
      <c r="J138" s="273"/>
      <c r="K138" s="273"/>
      <c r="L138" s="273"/>
      <c r="M138" s="273"/>
      <c r="N138" s="273"/>
    </row>
    <row r="139" spans="1:15" ht="15.75" customHeight="1" x14ac:dyDescent="0.25">
      <c r="A139" s="273"/>
      <c r="B139" s="267"/>
      <c r="C139" s="304" t="s">
        <v>280</v>
      </c>
      <c r="D139" s="273"/>
      <c r="E139" s="274"/>
      <c r="F139" s="273"/>
      <c r="G139" s="273"/>
      <c r="H139" s="273"/>
      <c r="I139" s="273"/>
      <c r="J139" s="273"/>
      <c r="K139" s="273"/>
      <c r="L139" s="273"/>
      <c r="M139" s="273"/>
      <c r="N139" s="273"/>
    </row>
    <row r="140" spans="1:15" ht="15.75" customHeight="1" x14ac:dyDescent="0.25">
      <c r="A140" s="273"/>
      <c r="B140" s="267"/>
      <c r="C140" s="304" t="s">
        <v>281</v>
      </c>
      <c r="D140" s="273"/>
      <c r="E140" s="274"/>
      <c r="F140" s="273"/>
      <c r="G140" s="273"/>
      <c r="H140" s="273"/>
      <c r="I140" s="273"/>
      <c r="J140" s="273"/>
      <c r="K140" s="273"/>
      <c r="L140" s="273"/>
      <c r="M140" s="273"/>
      <c r="N140" s="273"/>
    </row>
    <row r="141" spans="1:15" ht="15.6" customHeight="1" x14ac:dyDescent="0.25">
      <c r="A141" s="273"/>
      <c r="B141" s="362"/>
      <c r="C141" s="275"/>
      <c r="D141" s="273"/>
      <c r="E141" s="274"/>
      <c r="F141" s="273"/>
      <c r="G141" s="273"/>
      <c r="H141" s="273"/>
      <c r="I141" s="273"/>
      <c r="J141" s="273"/>
      <c r="K141" s="273"/>
      <c r="L141" s="273"/>
      <c r="M141" s="273"/>
      <c r="N141" s="273"/>
    </row>
    <row r="143" spans="1:15" ht="15.75" hidden="1" customHeight="1" x14ac:dyDescent="0.25">
      <c r="B143" s="165"/>
      <c r="C143" s="166" t="s">
        <v>538</v>
      </c>
      <c r="D143" s="161"/>
      <c r="E143" s="17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</row>
    <row r="144" spans="1:15" ht="15.75" hidden="1" customHeight="1" x14ac:dyDescent="0.25">
      <c r="B144" s="165"/>
      <c r="C144" s="166" t="s">
        <v>539</v>
      </c>
      <c r="D144" s="161"/>
      <c r="E144" s="17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</row>
    <row r="145" spans="2:15" s="161" customFormat="1" ht="15.75" hidden="1" customHeight="1" x14ac:dyDescent="0.25">
      <c r="B145" s="165"/>
      <c r="C145" s="166" t="s">
        <v>540</v>
      </c>
      <c r="E145" s="171"/>
    </row>
    <row r="146" spans="2:15" s="161" customFormat="1" ht="15.95" customHeight="1" x14ac:dyDescent="0.25">
      <c r="B146" s="165"/>
      <c r="C146" s="173"/>
      <c r="D146" s="171"/>
    </row>
    <row r="147" spans="2:15" s="161" customFormat="1" ht="15.75" customHeight="1" x14ac:dyDescent="0.25">
      <c r="B147" s="165"/>
      <c r="D147" s="171"/>
    </row>
    <row r="148" spans="2:15" s="161" customFormat="1" ht="15.75" customHeight="1" x14ac:dyDescent="0.25">
      <c r="B148" s="165"/>
      <c r="D148" s="171"/>
    </row>
    <row r="149" spans="2:15" s="161" customFormat="1" ht="15.75" customHeight="1" x14ac:dyDescent="0.25">
      <c r="B149" s="160"/>
      <c r="C149" s="143"/>
      <c r="D149" s="156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</row>
    <row r="150" spans="2:15" s="161" customFormat="1" ht="15.75" customHeight="1" x14ac:dyDescent="0.25">
      <c r="B150" s="160"/>
      <c r="C150" s="155"/>
      <c r="D150" s="143"/>
      <c r="E150" s="156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</row>
  </sheetData>
  <sheetProtection algorithmName="SHA-512" hashValue="1Bd3kc9x7293SX5I3Eb+bywXT+I1HkZRLcf8/u0bD3xphsBeUZzyq31jUhfQBVUuP8Xm6BR55qf2ICoMyhUing==" saltValue="urA52sFoCW5s+AwQX+ixYg==" spinCount="100000" sheet="1" objects="1" scenarios="1" selectLockedCells="1"/>
  <mergeCells count="21">
    <mergeCell ref="C82:M82"/>
    <mergeCell ref="C93:M93"/>
    <mergeCell ref="C71:M71"/>
    <mergeCell ref="J2:M2"/>
    <mergeCell ref="J4:M4"/>
    <mergeCell ref="J6:M6"/>
    <mergeCell ref="C16:M16"/>
    <mergeCell ref="C27:M27"/>
    <mergeCell ref="C38:M38"/>
    <mergeCell ref="C49:M49"/>
    <mergeCell ref="C60:M60"/>
    <mergeCell ref="B9:M9"/>
    <mergeCell ref="D15:H15"/>
    <mergeCell ref="D37:H37"/>
    <mergeCell ref="D59:H59"/>
    <mergeCell ref="D81:H81"/>
    <mergeCell ref="C106:D106"/>
    <mergeCell ref="F109:G109"/>
    <mergeCell ref="L105:M105"/>
    <mergeCell ref="L109:M109"/>
    <mergeCell ref="L111:M111"/>
  </mergeCells>
  <conditionalFormatting sqref="D15:H15">
    <cfRule type="containsBlanks" dxfId="27" priority="4">
      <formula>LEN(TRIM(D15))=0</formula>
    </cfRule>
  </conditionalFormatting>
  <conditionalFormatting sqref="D37:H37">
    <cfRule type="containsBlanks" dxfId="26" priority="3">
      <formula>LEN(TRIM(D37))=0</formula>
    </cfRule>
  </conditionalFormatting>
  <conditionalFormatting sqref="D59:H59">
    <cfRule type="containsBlanks" dxfId="25" priority="2">
      <formula>LEN(TRIM(D59))=0</formula>
    </cfRule>
  </conditionalFormatting>
  <conditionalFormatting sqref="D81:H81">
    <cfRule type="containsBlanks" dxfId="24" priority="1">
      <formula>LEN(TRIM(D81))=0</formula>
    </cfRule>
  </conditionalFormatting>
  <conditionalFormatting sqref="G18 H18:H19 L18:L26 F19 I20:I25 J26:K26">
    <cfRule type="containsBlanks" dxfId="23" priority="12">
      <formula>LEN(TRIM(F18))=0</formula>
    </cfRule>
  </conditionalFormatting>
  <conditionalFormatting sqref="G29 L29:L35 I30:I34 J35:K35">
    <cfRule type="containsBlanks" dxfId="22" priority="11">
      <formula>LEN(TRIM(G29))=0</formula>
    </cfRule>
  </conditionalFormatting>
  <conditionalFormatting sqref="G40 H40:H41 L40:L48 F41 I42:I47 J48:K48">
    <cfRule type="containsBlanks" dxfId="21" priority="10">
      <formula>LEN(TRIM(F40))=0</formula>
    </cfRule>
  </conditionalFormatting>
  <conditionalFormatting sqref="G51 L51:L57 I52:I56 J57:K57">
    <cfRule type="containsBlanks" dxfId="20" priority="7">
      <formula>LEN(TRIM(G51))=0</formula>
    </cfRule>
  </conditionalFormatting>
  <conditionalFormatting sqref="G62 H62:H63 L62:L70 F63 I64:I69 J70:K70">
    <cfRule type="containsBlanks" dxfId="19" priority="9">
      <formula>LEN(TRIM(F62))=0</formula>
    </cfRule>
  </conditionalFormatting>
  <conditionalFormatting sqref="G73 L73:L79 I74:I78 J79:K79">
    <cfRule type="containsBlanks" dxfId="18" priority="6">
      <formula>LEN(TRIM(G73))=0</formula>
    </cfRule>
  </conditionalFormatting>
  <conditionalFormatting sqref="G84 H84:H85 L84:L92 F85 I86:I91 J92:K92">
    <cfRule type="containsBlanks" dxfId="17" priority="8">
      <formula>LEN(TRIM(F84))=0</formula>
    </cfRule>
  </conditionalFormatting>
  <conditionalFormatting sqref="G95 L95:L101 I96:I100 J101:K101">
    <cfRule type="containsBlanks" dxfId="16" priority="5">
      <formula>LEN(TRIM(G95))=0</formula>
    </cfRule>
  </conditionalFormatting>
  <conditionalFormatting sqref="J2 J4">
    <cfRule type="containsBlanks" dxfId="15" priority="23">
      <formula>LEN(TRIM(J2))=0</formula>
    </cfRule>
  </conditionalFormatting>
  <conditionalFormatting sqref="M11">
    <cfRule type="containsBlanks" dxfId="14" priority="13">
      <formula>LEN(TRIM(M11))=0</formula>
    </cfRule>
  </conditionalFormatting>
  <dataValidations count="17">
    <dataValidation allowBlank="1" showInputMessage="1" showErrorMessage="1" prompt="Indique a área (em m2) de domínio público e/ou privado municipal ocupada com stands de vendas" sqref="G80 G58 G36" xr:uid="{E16654D7-BA3F-4012-B64E-C1E4E9ED76C8}"/>
    <dataValidation type="whole" operator="greaterThanOrEqual" allowBlank="1" showInputMessage="1" showErrorMessage="1" errorTitle="Unidades inválidas" error="Deve inserir um número inteiro correspondente ao número de unidade do equipamento ou instalação" prompt="Indique o número de unidades do equipamento ou instalação" sqref="I58 I36 I80" xr:uid="{2A820BA1-17FC-4F38-A480-069A56C0B5B7}">
      <formula1>1</formula1>
    </dataValidation>
    <dataValidation type="whole" operator="greaterThanOrEqual" allowBlank="1" showInputMessage="1" showErrorMessage="1" errorTitle="Prazo inválido" error="Deve inserir um número inteiro correspondente aos meses de ocupaçãodo domínio público e/ou privado municipal com o equipamento ou instalação. Mínimo 1 mês (nos termos do n.º 1, do artigo 24.º do RMTRAUOC)." prompt="Indique o prazo (em meses) para a ocupação do domínio público e/ou privado municipal com o equipamento ou instalação (não pode ultrapassar o prazo da obra)" sqref="L58 L80 L36" xr:uid="{97879449-DE74-4770-87B9-8470CA991566}">
      <formula1>1</formula1>
    </dataValidation>
    <dataValidation type="whole" operator="greaterThan" allowBlank="1" showInputMessage="1" showErrorMessage="1" error="Deve inserir um número inteiro" sqref="E102:F102" xr:uid="{8AB46EFB-CB19-4ABD-968E-3D2F896F2397}">
      <formula1>0</formula1>
    </dataValidation>
    <dataValidation type="custom" allowBlank="1" showInputMessage="1" showErrorMessage="1" sqref="E103" xr:uid="{6C27A003-B798-4AA0-AC01-FF38BC2C9866}">
      <formula1>OR(#REF!&lt;&gt;"Sem demolição",E103=" ")</formula1>
    </dataValidation>
    <dataValidation type="custom" allowBlank="1" showInputMessage="1" showErrorMessage="1" sqref="E113" xr:uid="{65CB5CC8-1CB3-462A-84E2-1054AC3CA563}">
      <formula1>OR(E109&lt;&gt;"Sem demolição",E113=" ")</formula1>
    </dataValidation>
    <dataValidation type="custom" allowBlank="1" showInputMessage="1" showErrorMessage="1" sqref="E114" xr:uid="{F43171EA-4E4C-4309-9294-17EEE403217E}">
      <formula1>OR(E112&lt;&gt;"Sem demolição",E114=" ")</formula1>
    </dataValidation>
    <dataValidation type="list" allowBlank="1" showInputMessage="1" showErrorMessage="1" sqref="M11" xr:uid="{489335C1-EABA-45C7-9425-82CF113BEBDD}">
      <formula1>$C$143:$C$145</formula1>
    </dataValidation>
    <dataValidation allowBlank="1" showInputMessage="1" showErrorMessage="1" promptTitle="Nome do Arruamento" prompt="Indique o nome do arruamento" sqref="D59 D15 D37 D81" xr:uid="{7D3ACFFD-2C1F-437F-9DD4-44533E84F0C9}"/>
    <dataValidation type="custom" allowBlank="1" showInputMessage="1" showErrorMessage="1" sqref="M128:M134" xr:uid="{73EFD0E4-FCBE-4E89-889F-3F5325B1ABE9}">
      <formula1>OR(E115&lt;&gt;"Sem demolição",M128=" ")</formula1>
    </dataValidation>
    <dataValidation type="custom" allowBlank="1" showInputMessage="1" showErrorMessage="1" sqref="M115 M118:M127" xr:uid="{F2654550-E114-4541-9149-AB357879AC74}">
      <formula1>OR(E112&lt;&gt;"Sem demolição",M115=" ")</formula1>
    </dataValidation>
    <dataValidation type="custom" allowBlank="1" showInputMessage="1" showErrorMessage="1" sqref="M116:M117" xr:uid="{759CA6FE-6C48-44B7-BB2B-01EBAB513408}">
      <formula1>OR(E114&lt;&gt;"Sem demolição",M116=" ")</formula1>
    </dataValidation>
    <dataValidation type="whole" operator="greaterThanOrEqual" allowBlank="1" showInputMessage="1" showErrorMessage="1" errorTitle="Valor inválido" error="Apenas são admitidos valores numéricos inteiros que correspondam aos meses de ocupaçãodo domínio público e/ou privado municipal com o equipamento ou instalação. Mínimo 1 mês (nos termos do n.º 1, do artigo 24.º do RMTRAUOC)." prompt="Indique o prazo (em meses) para a ocupação do domínio público e/ou privado municipal com o equipamento ou instalação (não pode ultrapassar o prazo da obra)" sqref="L18:L26 L29:L35 L40:L48 L62:L70 L84:L92 L51:L57 L73:L79 L95:L101" xr:uid="{98C7E46E-D26C-461E-B40B-6E3877D643A2}">
      <formula1>1</formula1>
    </dataValidation>
    <dataValidation type="whole" operator="greaterThanOrEqual" allowBlank="1" showInputMessage="1" showErrorMessage="1" errorTitle="Valor inválido" error="Apenas são admitidos valores numéricos inteiros que correspondam ao número de unidades do equipamento ou instalação." prompt="Indique o número de unidades do equipamento ou instalação" sqref="J26:K26 I20:I25 J35:K35 I30:I34 J48:K48 I42:I47 J70:K70 I64:I69 J92:K92 I86:I91 J57:K57 I52:I56 J79:K79 I74:I78 J101:K101 I96:I100" xr:uid="{47CA6E24-AF6A-4DB2-9132-5A1047BB2582}">
      <formula1>1</formula1>
    </dataValidation>
    <dataValidation type="whole" allowBlank="1" showInputMessage="1" showErrorMessage="1" errorTitle="Valor inválido" error="Apenas são admitidos valores numéricos inteiros que correspondam ao número de pisos do edifício cobertos por resguardo ou tapume._x000a__x000a_Nota: Não deve ultrapassar os 2 pisos do edifício." prompt="Indique o número de pisos do edifício cobertos por tapume (apenas quando exista simultaneamente ocupação com andaimes)" sqref="H18 H40 H62 H84" xr:uid="{06E9A965-1306-49EF-A378-38CAF72C8912}">
      <formula1>1</formula1>
      <formula2>2</formula2>
    </dataValidation>
    <dataValidation type="whole" operator="greaterThanOrEqual" allowBlank="1" showInputMessage="1" showErrorMessage="1" errorTitle="Valor inválido" error="Apenas são admitidos valores numéricos inteiros que correspondam ao número de pisos do edifício cobertos por andaime" prompt="Indique o número de pisos do edifício cobertos por andaime" sqref="H19 H41 H63 H85" xr:uid="{4DDBE9B8-3F23-4628-9DD6-8D037150DE75}">
      <formula1>1</formula1>
    </dataValidation>
    <dataValidation type="custom" allowBlank="1" showInputMessage="1" showErrorMessage="1" errorTitle="Valor inválido" error="Apenas são admitidos valores numéricos com um máximo de duas casas decimais." prompt="Indique a dimensão da frente do andaime em metros lineares" sqref="F19 G18 G29 F41 G40 F63 G62 F85 G84 G51 G73 G95" xr:uid="{1FBE6B57-7CDA-4E4F-8319-06E56AB2E576}">
      <formula1>ROUND(F18,2)=F18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4294967293" verticalDpi="4294967293" r:id="rId1"/>
  <headerFooter>
    <oddFooter>&amp;L&amp;F&amp;RPágina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CFC56-0823-4E27-B12A-7E2621645BD5}">
  <sheetPr codeName="Folha12">
    <tabColor theme="9" tint="-0.249977111117893"/>
    <pageSetUpPr fitToPage="1"/>
  </sheetPr>
  <dimension ref="A1:O150"/>
  <sheetViews>
    <sheetView showGridLines="0" zoomScale="90" zoomScaleNormal="90" workbookViewId="0">
      <selection activeCell="J2" sqref="J2:M2"/>
    </sheetView>
  </sheetViews>
  <sheetFormatPr defaultColWidth="5.5703125" defaultRowHeight="15.75" customHeight="1" x14ac:dyDescent="0.25"/>
  <cols>
    <col min="1" max="1" width="2.5703125" style="143" customWidth="1"/>
    <col min="2" max="2" width="6.42578125" style="160" customWidth="1"/>
    <col min="3" max="3" width="25.5703125" style="155" customWidth="1"/>
    <col min="4" max="4" width="40.5703125" style="143" customWidth="1"/>
    <col min="5" max="5" width="25.5703125" style="156" customWidth="1"/>
    <col min="6" max="9" width="15.5703125" style="143" customWidth="1"/>
    <col min="10" max="11" width="20.5703125" style="143" customWidth="1"/>
    <col min="12" max="12" width="15.5703125" style="143" customWidth="1"/>
    <col min="13" max="13" width="25.5703125" style="143" customWidth="1"/>
    <col min="14" max="14" width="2.5703125" style="143" customWidth="1"/>
    <col min="15" max="16384" width="5.5703125" style="143"/>
  </cols>
  <sheetData>
    <row r="1" spans="1:14" ht="15.75" customHeight="1" x14ac:dyDescent="0.25">
      <c r="A1" s="273"/>
      <c r="B1" s="362"/>
      <c r="C1" s="268"/>
      <c r="D1" s="269"/>
      <c r="E1" s="270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15.75" customHeight="1" x14ac:dyDescent="0.25">
      <c r="A2" s="273"/>
      <c r="B2" s="362"/>
      <c r="C2" s="280"/>
      <c r="D2" s="280"/>
      <c r="E2" s="280"/>
      <c r="F2" s="280"/>
      <c r="G2" s="280"/>
      <c r="H2" s="280"/>
      <c r="I2" s="271" t="s">
        <v>282</v>
      </c>
      <c r="J2" s="582"/>
      <c r="K2" s="582"/>
      <c r="L2" s="582"/>
      <c r="M2" s="582"/>
      <c r="N2" s="273"/>
    </row>
    <row r="3" spans="1:14" ht="15.75" customHeight="1" x14ac:dyDescent="0.25">
      <c r="A3" s="273"/>
      <c r="B3" s="362"/>
      <c r="C3" s="280"/>
      <c r="D3" s="273"/>
      <c r="E3" s="274"/>
      <c r="F3" s="273"/>
      <c r="G3" s="273"/>
      <c r="H3" s="273"/>
      <c r="I3" s="323"/>
      <c r="J3" s="273"/>
      <c r="K3" s="269"/>
      <c r="L3" s="270"/>
      <c r="M3" s="273"/>
      <c r="N3" s="273"/>
    </row>
    <row r="4" spans="1:14" ht="15.75" customHeight="1" x14ac:dyDescent="0.25">
      <c r="A4" s="273"/>
      <c r="B4" s="362"/>
      <c r="C4" s="280"/>
      <c r="D4" s="280"/>
      <c r="E4" s="280"/>
      <c r="F4" s="280"/>
      <c r="G4" s="280"/>
      <c r="H4" s="280"/>
      <c r="I4" s="271" t="s">
        <v>283</v>
      </c>
      <c r="J4" s="582"/>
      <c r="K4" s="582"/>
      <c r="L4" s="582"/>
      <c r="M4" s="582"/>
      <c r="N4" s="273"/>
    </row>
    <row r="5" spans="1:14" ht="15.75" customHeight="1" x14ac:dyDescent="0.25">
      <c r="A5" s="273"/>
      <c r="B5" s="362"/>
      <c r="C5" s="280"/>
      <c r="D5" s="273"/>
      <c r="E5" s="274"/>
      <c r="F5" s="273"/>
      <c r="G5" s="273"/>
      <c r="H5" s="273"/>
      <c r="I5" s="323"/>
      <c r="J5" s="273"/>
      <c r="K5" s="269"/>
      <c r="L5" s="270"/>
      <c r="M5" s="273"/>
      <c r="N5" s="273"/>
    </row>
    <row r="6" spans="1:14" ht="15.75" customHeight="1" x14ac:dyDescent="0.25">
      <c r="A6" s="273"/>
      <c r="B6" s="362"/>
      <c r="C6" s="280"/>
      <c r="D6" s="280"/>
      <c r="E6" s="280"/>
      <c r="F6" s="280"/>
      <c r="G6" s="280"/>
      <c r="H6" s="280"/>
      <c r="I6" s="271" t="s">
        <v>284</v>
      </c>
      <c r="J6" s="583">
        <f ca="1">NOW()</f>
        <v>46178.662026273145</v>
      </c>
      <c r="K6" s="583"/>
      <c r="L6" s="583"/>
      <c r="M6" s="583"/>
      <c r="N6" s="273"/>
    </row>
    <row r="7" spans="1:14" ht="15.75" customHeight="1" x14ac:dyDescent="0.25">
      <c r="A7" s="273"/>
      <c r="B7" s="362"/>
      <c r="C7" s="268"/>
      <c r="D7" s="269"/>
      <c r="E7" s="270"/>
      <c r="F7" s="273"/>
      <c r="G7" s="273"/>
      <c r="H7" s="273"/>
      <c r="I7" s="273"/>
      <c r="J7" s="273"/>
      <c r="K7" s="273"/>
      <c r="L7" s="273"/>
      <c r="M7" s="273"/>
      <c r="N7" s="273"/>
    </row>
    <row r="8" spans="1:14" ht="24.95" customHeight="1" x14ac:dyDescent="0.25">
      <c r="A8" s="273"/>
      <c r="B8" s="145" t="s">
        <v>542</v>
      </c>
      <c r="C8" s="145"/>
      <c r="D8" s="146"/>
      <c r="E8" s="147"/>
      <c r="F8" s="146"/>
      <c r="G8" s="146"/>
      <c r="H8" s="146"/>
      <c r="I8" s="146"/>
      <c r="J8" s="146"/>
      <c r="K8" s="146"/>
      <c r="L8" s="146"/>
      <c r="M8" s="146"/>
      <c r="N8" s="273"/>
    </row>
    <row r="9" spans="1:14" ht="15.75" customHeight="1" x14ac:dyDescent="0.25">
      <c r="A9" s="273"/>
      <c r="B9" s="176" t="s">
        <v>543</v>
      </c>
      <c r="C9" s="145"/>
      <c r="D9" s="146"/>
      <c r="E9" s="147"/>
      <c r="F9" s="146"/>
      <c r="G9" s="146"/>
      <c r="H9" s="146"/>
      <c r="I9" s="146"/>
      <c r="J9" s="146"/>
      <c r="K9" s="146"/>
      <c r="L9" s="146"/>
      <c r="M9" s="146"/>
      <c r="N9" s="273"/>
    </row>
    <row r="10" spans="1:14" ht="15.75" customHeight="1" x14ac:dyDescent="0.25">
      <c r="A10" s="273"/>
      <c r="B10" s="362"/>
      <c r="C10" s="275"/>
      <c r="D10" s="273"/>
      <c r="E10" s="274"/>
      <c r="F10" s="273"/>
      <c r="G10" s="273"/>
      <c r="H10" s="273"/>
      <c r="I10" s="273"/>
      <c r="J10" s="273"/>
      <c r="K10" s="273"/>
      <c r="L10" s="273"/>
      <c r="M10" s="273"/>
      <c r="N10" s="273"/>
    </row>
    <row r="11" spans="1:14" x14ac:dyDescent="0.25">
      <c r="A11" s="273"/>
      <c r="B11" s="363">
        <v>1</v>
      </c>
      <c r="C11" s="276" t="s">
        <v>447</v>
      </c>
      <c r="D11" s="269"/>
      <c r="E11" s="274"/>
      <c r="F11" s="273"/>
      <c r="G11" s="273"/>
      <c r="H11" s="273"/>
      <c r="I11" s="273"/>
      <c r="J11" s="273"/>
      <c r="K11" s="273"/>
      <c r="L11" s="273"/>
      <c r="M11" s="401"/>
      <c r="N11" s="273"/>
    </row>
    <row r="12" spans="1:14" x14ac:dyDescent="0.25">
      <c r="A12" s="273"/>
      <c r="B12" s="365"/>
      <c r="C12" s="282"/>
      <c r="D12" s="269"/>
      <c r="E12" s="274"/>
      <c r="F12" s="273"/>
      <c r="G12" s="273"/>
      <c r="H12" s="273"/>
      <c r="I12" s="273"/>
      <c r="J12" s="273"/>
      <c r="K12" s="273"/>
      <c r="L12" s="273"/>
      <c r="M12" s="364"/>
      <c r="N12" s="273"/>
    </row>
    <row r="13" spans="1:14" x14ac:dyDescent="0.25">
      <c r="A13" s="273"/>
      <c r="B13" s="284">
        <v>2</v>
      </c>
      <c r="C13" s="285" t="s">
        <v>493</v>
      </c>
      <c r="D13" s="273"/>
      <c r="E13" s="274"/>
      <c r="F13" s="273"/>
      <c r="G13" s="273"/>
      <c r="H13" s="273"/>
      <c r="I13" s="273"/>
      <c r="J13" s="273"/>
      <c r="K13" s="273"/>
      <c r="L13" s="273"/>
      <c r="M13" s="432"/>
      <c r="N13" s="273"/>
    </row>
    <row r="14" spans="1:14" x14ac:dyDescent="0.25">
      <c r="A14" s="273"/>
      <c r="B14" s="365"/>
      <c r="C14" s="282"/>
      <c r="D14" s="269"/>
      <c r="E14" s="364"/>
      <c r="F14" s="273"/>
      <c r="G14" s="273"/>
      <c r="H14" s="273"/>
      <c r="I14" s="273"/>
      <c r="J14" s="273"/>
      <c r="K14" s="273"/>
      <c r="L14" s="273"/>
      <c r="M14" s="273"/>
      <c r="N14" s="273"/>
    </row>
    <row r="15" spans="1:14" ht="20.100000000000001" customHeight="1" x14ac:dyDescent="0.25">
      <c r="A15" s="273"/>
      <c r="B15" s="365"/>
      <c r="C15" s="451" t="s">
        <v>494</v>
      </c>
      <c r="D15" s="597"/>
      <c r="E15" s="597"/>
      <c r="F15" s="597"/>
      <c r="G15" s="597"/>
      <c r="H15" s="597"/>
      <c r="I15" s="456"/>
      <c r="J15" s="456"/>
      <c r="K15" s="456"/>
      <c r="L15" s="456"/>
      <c r="M15" s="457"/>
      <c r="N15" s="273"/>
    </row>
    <row r="16" spans="1:14" ht="20.100000000000001" customHeight="1" x14ac:dyDescent="0.25">
      <c r="A16" s="273"/>
      <c r="B16" s="365"/>
      <c r="C16" s="605" t="s">
        <v>495</v>
      </c>
      <c r="D16" s="606"/>
      <c r="E16" s="606"/>
      <c r="F16" s="606"/>
      <c r="G16" s="606"/>
      <c r="H16" s="606"/>
      <c r="I16" s="606"/>
      <c r="J16" s="606"/>
      <c r="K16" s="606"/>
      <c r="L16" s="606"/>
      <c r="M16" s="607"/>
      <c r="N16" s="273"/>
    </row>
    <row r="17" spans="1:14" ht="20.100000000000001" customHeight="1" x14ac:dyDescent="0.25">
      <c r="A17" s="273"/>
      <c r="B17" s="365"/>
      <c r="C17" s="437" t="s">
        <v>92</v>
      </c>
      <c r="D17" s="399" t="s">
        <v>496</v>
      </c>
      <c r="E17" s="444" t="s">
        <v>94</v>
      </c>
      <c r="F17" s="438" t="s">
        <v>497</v>
      </c>
      <c r="G17" s="400" t="s">
        <v>498</v>
      </c>
      <c r="H17" s="400" t="s">
        <v>499</v>
      </c>
      <c r="I17" s="405" t="s">
        <v>500</v>
      </c>
      <c r="J17" s="405" t="s">
        <v>501</v>
      </c>
      <c r="K17" s="405" t="s">
        <v>502</v>
      </c>
      <c r="L17" s="439" t="s">
        <v>503</v>
      </c>
      <c r="M17" s="400" t="s">
        <v>504</v>
      </c>
      <c r="N17" s="273"/>
    </row>
    <row r="18" spans="1:14" ht="20.100000000000001" customHeight="1" x14ac:dyDescent="0.25">
      <c r="A18" s="273"/>
      <c r="B18" s="365"/>
      <c r="C18" s="395" t="s">
        <v>505</v>
      </c>
      <c r="D18" s="394" t="s">
        <v>506</v>
      </c>
      <c r="E18" s="403" t="s">
        <v>507</v>
      </c>
      <c r="F18" s="455"/>
      <c r="G18" s="414"/>
      <c r="H18" s="415"/>
      <c r="I18" s="416"/>
      <c r="J18" s="417"/>
      <c r="K18" s="418"/>
      <c r="L18" s="415"/>
      <c r="M18" s="58">
        <f>(G18*M118)*L18*M116</f>
        <v>0</v>
      </c>
      <c r="N18" s="273"/>
    </row>
    <row r="19" spans="1:14" ht="20.100000000000001" customHeight="1" x14ac:dyDescent="0.25">
      <c r="A19" s="273"/>
      <c r="B19" s="365"/>
      <c r="C19" s="395" t="s">
        <v>508</v>
      </c>
      <c r="D19" s="394" t="s">
        <v>509</v>
      </c>
      <c r="E19" s="403" t="s">
        <v>510</v>
      </c>
      <c r="F19" s="414"/>
      <c r="G19" s="419"/>
      <c r="H19" s="415"/>
      <c r="I19" s="420"/>
      <c r="J19" s="421"/>
      <c r="K19" s="422"/>
      <c r="L19" s="415"/>
      <c r="M19" s="58">
        <f>F19*M119*(H19-H18)*L19*M116</f>
        <v>0</v>
      </c>
      <c r="N19" s="273"/>
    </row>
    <row r="20" spans="1:14" ht="20.100000000000001" customHeight="1" x14ac:dyDescent="0.25">
      <c r="A20" s="273"/>
      <c r="B20" s="365"/>
      <c r="C20" s="395" t="s">
        <v>511</v>
      </c>
      <c r="D20" s="394" t="s">
        <v>512</v>
      </c>
      <c r="E20" s="403" t="s">
        <v>513</v>
      </c>
      <c r="F20" s="423"/>
      <c r="G20" s="374"/>
      <c r="H20" s="418"/>
      <c r="I20" s="415"/>
      <c r="J20" s="424"/>
      <c r="K20" s="422"/>
      <c r="L20" s="415"/>
      <c r="M20" s="58">
        <f>I20*M120*L20*M116</f>
        <v>0</v>
      </c>
      <c r="N20" s="273"/>
    </row>
    <row r="21" spans="1:14" ht="20.100000000000001" customHeight="1" x14ac:dyDescent="0.25">
      <c r="A21" s="273"/>
      <c r="B21" s="365"/>
      <c r="C21" s="395" t="s">
        <v>511</v>
      </c>
      <c r="D21" s="394" t="s">
        <v>514</v>
      </c>
      <c r="E21" s="403" t="s">
        <v>513</v>
      </c>
      <c r="F21" s="425"/>
      <c r="G21" s="374"/>
      <c r="H21" s="422"/>
      <c r="I21" s="415"/>
      <c r="J21" s="424"/>
      <c r="K21" s="422"/>
      <c r="L21" s="415"/>
      <c r="M21" s="58">
        <f>I21*M121*L21*M116</f>
        <v>0</v>
      </c>
      <c r="N21" s="273"/>
    </row>
    <row r="22" spans="1:14" ht="20.100000000000001" customHeight="1" x14ac:dyDescent="0.25">
      <c r="A22" s="273"/>
      <c r="B22" s="365"/>
      <c r="C22" s="395" t="s">
        <v>511</v>
      </c>
      <c r="D22" s="394" t="s">
        <v>515</v>
      </c>
      <c r="E22" s="403" t="s">
        <v>513</v>
      </c>
      <c r="F22" s="425"/>
      <c r="G22" s="374"/>
      <c r="H22" s="422"/>
      <c r="I22" s="415"/>
      <c r="J22" s="424"/>
      <c r="K22" s="422"/>
      <c r="L22" s="415"/>
      <c r="M22" s="58">
        <f>I22*M122*L22*M116</f>
        <v>0</v>
      </c>
      <c r="N22" s="273"/>
    </row>
    <row r="23" spans="1:14" ht="20.100000000000001" customHeight="1" x14ac:dyDescent="0.25">
      <c r="A23" s="273"/>
      <c r="B23" s="365"/>
      <c r="C23" s="395" t="s">
        <v>511</v>
      </c>
      <c r="D23" s="395" t="s">
        <v>516</v>
      </c>
      <c r="E23" s="403" t="s">
        <v>513</v>
      </c>
      <c r="F23" s="425"/>
      <c r="G23" s="374"/>
      <c r="H23" s="422"/>
      <c r="I23" s="415"/>
      <c r="J23" s="424"/>
      <c r="K23" s="422"/>
      <c r="L23" s="415"/>
      <c r="M23" s="58">
        <f>I23*M123*L23*M116</f>
        <v>0</v>
      </c>
      <c r="N23" s="273"/>
    </row>
    <row r="24" spans="1:14" ht="20.100000000000001" customHeight="1" x14ac:dyDescent="0.25">
      <c r="A24" s="273"/>
      <c r="B24" s="365"/>
      <c r="C24" s="395" t="s">
        <v>511</v>
      </c>
      <c r="D24" s="395" t="s">
        <v>517</v>
      </c>
      <c r="E24" s="403" t="s">
        <v>513</v>
      </c>
      <c r="F24" s="425"/>
      <c r="G24" s="374"/>
      <c r="H24" s="422"/>
      <c r="I24" s="415"/>
      <c r="J24" s="424"/>
      <c r="K24" s="422"/>
      <c r="L24" s="415"/>
      <c r="M24" s="58">
        <f>I24*M124*L24*M116</f>
        <v>0</v>
      </c>
      <c r="N24" s="273"/>
    </row>
    <row r="25" spans="1:14" ht="20.100000000000001" customHeight="1" x14ac:dyDescent="0.25">
      <c r="A25" s="273"/>
      <c r="B25" s="365"/>
      <c r="C25" s="395" t="s">
        <v>511</v>
      </c>
      <c r="D25" s="394" t="s">
        <v>518</v>
      </c>
      <c r="E25" s="403" t="s">
        <v>513</v>
      </c>
      <c r="F25" s="425"/>
      <c r="G25" s="374"/>
      <c r="H25" s="422"/>
      <c r="I25" s="415"/>
      <c r="J25" s="420"/>
      <c r="K25" s="426"/>
      <c r="L25" s="415"/>
      <c r="M25" s="58">
        <f>I25*M125*L25*M116</f>
        <v>0</v>
      </c>
      <c r="N25" s="273"/>
    </row>
    <row r="26" spans="1:14" ht="20.100000000000001" customHeight="1" x14ac:dyDescent="0.25">
      <c r="A26" s="273"/>
      <c r="B26" s="365"/>
      <c r="C26" s="395" t="s">
        <v>519</v>
      </c>
      <c r="D26" s="394" t="s">
        <v>520</v>
      </c>
      <c r="E26" s="404" t="s">
        <v>521</v>
      </c>
      <c r="F26" s="425"/>
      <c r="G26" s="427"/>
      <c r="H26" s="421"/>
      <c r="I26" s="428"/>
      <c r="J26" s="415"/>
      <c r="K26" s="415"/>
      <c r="L26" s="415"/>
      <c r="M26" s="58">
        <f>(J26+(K26*0.2))*M126*L26*M116</f>
        <v>0</v>
      </c>
      <c r="N26" s="273"/>
    </row>
    <row r="27" spans="1:14" ht="20.100000000000001" customHeight="1" x14ac:dyDescent="0.25">
      <c r="A27" s="273"/>
      <c r="B27" s="365"/>
      <c r="C27" s="602" t="s">
        <v>522</v>
      </c>
      <c r="D27" s="603"/>
      <c r="E27" s="603"/>
      <c r="F27" s="603"/>
      <c r="G27" s="603"/>
      <c r="H27" s="603"/>
      <c r="I27" s="603"/>
      <c r="J27" s="603"/>
      <c r="K27" s="603"/>
      <c r="L27" s="603"/>
      <c r="M27" s="604"/>
      <c r="N27" s="273"/>
    </row>
    <row r="28" spans="1:14" ht="20.100000000000001" customHeight="1" x14ac:dyDescent="0.25">
      <c r="A28" s="273"/>
      <c r="B28" s="365"/>
      <c r="C28" s="437" t="s">
        <v>92</v>
      </c>
      <c r="D28" s="399" t="s">
        <v>496</v>
      </c>
      <c r="E28" s="435" t="s">
        <v>94</v>
      </c>
      <c r="F28" s="400" t="s">
        <v>497</v>
      </c>
      <c r="G28" s="400" t="s">
        <v>498</v>
      </c>
      <c r="H28" s="400" t="s">
        <v>499</v>
      </c>
      <c r="I28" s="405" t="s">
        <v>500</v>
      </c>
      <c r="J28" s="405" t="s">
        <v>501</v>
      </c>
      <c r="K28" s="405" t="s">
        <v>502</v>
      </c>
      <c r="L28" s="400" t="s">
        <v>503</v>
      </c>
      <c r="M28" s="438" t="s">
        <v>504</v>
      </c>
      <c r="N28" s="273"/>
    </row>
    <row r="29" spans="1:14" ht="20.100000000000001" customHeight="1" x14ac:dyDescent="0.25">
      <c r="A29" s="273"/>
      <c r="B29" s="365"/>
      <c r="C29" s="395" t="s">
        <v>505</v>
      </c>
      <c r="D29" s="56" t="s">
        <v>506</v>
      </c>
      <c r="E29" s="433" t="s">
        <v>507</v>
      </c>
      <c r="F29" s="419"/>
      <c r="G29" s="414"/>
      <c r="H29" s="416"/>
      <c r="I29" s="429"/>
      <c r="J29" s="417"/>
      <c r="K29" s="418"/>
      <c r="L29" s="415"/>
      <c r="M29" s="58">
        <f>(G29*M127)*L29*M116</f>
        <v>0</v>
      </c>
      <c r="N29" s="273"/>
    </row>
    <row r="30" spans="1:14" ht="20.100000000000001" customHeight="1" x14ac:dyDescent="0.25">
      <c r="A30" s="273"/>
      <c r="B30" s="365"/>
      <c r="C30" s="395" t="s">
        <v>511</v>
      </c>
      <c r="D30" s="56" t="s">
        <v>514</v>
      </c>
      <c r="E30" s="433" t="s">
        <v>513</v>
      </c>
      <c r="F30" s="425"/>
      <c r="G30" s="430"/>
      <c r="H30" s="422"/>
      <c r="I30" s="415"/>
      <c r="J30" s="424"/>
      <c r="K30" s="422"/>
      <c r="L30" s="415"/>
      <c r="M30" s="58">
        <f>I30*M128*L30*M116</f>
        <v>0</v>
      </c>
      <c r="N30" s="273"/>
    </row>
    <row r="31" spans="1:14" ht="20.100000000000001" customHeight="1" x14ac:dyDescent="0.25">
      <c r="A31" s="273"/>
      <c r="B31" s="365"/>
      <c r="C31" s="395" t="s">
        <v>511</v>
      </c>
      <c r="D31" s="56" t="s">
        <v>515</v>
      </c>
      <c r="E31" s="433" t="s">
        <v>513</v>
      </c>
      <c r="F31" s="425"/>
      <c r="G31" s="374"/>
      <c r="H31" s="422"/>
      <c r="I31" s="415"/>
      <c r="J31" s="424"/>
      <c r="K31" s="422"/>
      <c r="L31" s="415"/>
      <c r="M31" s="58">
        <f>I31*M129*L31*M116</f>
        <v>0</v>
      </c>
      <c r="N31" s="273"/>
    </row>
    <row r="32" spans="1:14" ht="20.100000000000001" customHeight="1" x14ac:dyDescent="0.25">
      <c r="A32" s="273"/>
      <c r="B32" s="365"/>
      <c r="C32" s="395" t="s">
        <v>511</v>
      </c>
      <c r="D32" s="162" t="s">
        <v>516</v>
      </c>
      <c r="E32" s="433" t="s">
        <v>513</v>
      </c>
      <c r="F32" s="425"/>
      <c r="G32" s="374"/>
      <c r="H32" s="422"/>
      <c r="I32" s="415"/>
      <c r="J32" s="424"/>
      <c r="K32" s="422"/>
      <c r="L32" s="415"/>
      <c r="M32" s="58">
        <f>I32*M130*L32*M116</f>
        <v>0</v>
      </c>
      <c r="N32" s="273"/>
    </row>
    <row r="33" spans="1:14" ht="20.100000000000001" customHeight="1" x14ac:dyDescent="0.25">
      <c r="A33" s="273"/>
      <c r="B33" s="365"/>
      <c r="C33" s="395" t="s">
        <v>511</v>
      </c>
      <c r="D33" s="162" t="s">
        <v>517</v>
      </c>
      <c r="E33" s="433" t="s">
        <v>513</v>
      </c>
      <c r="F33" s="425"/>
      <c r="G33" s="374"/>
      <c r="H33" s="422"/>
      <c r="I33" s="415"/>
      <c r="J33" s="424"/>
      <c r="K33" s="422"/>
      <c r="L33" s="415"/>
      <c r="M33" s="58">
        <f>I33*M131*L33*M116</f>
        <v>0</v>
      </c>
      <c r="N33" s="273"/>
    </row>
    <row r="34" spans="1:14" ht="20.100000000000001" customHeight="1" x14ac:dyDescent="0.25">
      <c r="A34" s="273"/>
      <c r="B34" s="365"/>
      <c r="C34" s="395" t="s">
        <v>511</v>
      </c>
      <c r="D34" s="56" t="s">
        <v>518</v>
      </c>
      <c r="E34" s="433" t="s">
        <v>513</v>
      </c>
      <c r="F34" s="425"/>
      <c r="G34" s="374"/>
      <c r="H34" s="422"/>
      <c r="I34" s="415"/>
      <c r="J34" s="420"/>
      <c r="K34" s="426"/>
      <c r="L34" s="415"/>
      <c r="M34" s="58">
        <f>I34*M132*L34*M116</f>
        <v>0</v>
      </c>
      <c r="N34" s="273"/>
    </row>
    <row r="35" spans="1:14" ht="20.100000000000001" customHeight="1" x14ac:dyDescent="0.25">
      <c r="A35" s="273"/>
      <c r="B35" s="365"/>
      <c r="C35" s="395" t="s">
        <v>519</v>
      </c>
      <c r="D35" s="56" t="s">
        <v>520</v>
      </c>
      <c r="E35" s="434" t="s">
        <v>521</v>
      </c>
      <c r="F35" s="458"/>
      <c r="G35" s="427"/>
      <c r="H35" s="459"/>
      <c r="I35" s="428"/>
      <c r="J35" s="415"/>
      <c r="K35" s="415"/>
      <c r="L35" s="415"/>
      <c r="M35" s="58">
        <f>(J35+(K35*0.2))*M133*L35*M116</f>
        <v>0</v>
      </c>
      <c r="N35" s="273"/>
    </row>
    <row r="36" spans="1:14" ht="20.100000000000001" customHeight="1" x14ac:dyDescent="0.25">
      <c r="A36" s="273"/>
      <c r="B36" s="365"/>
      <c r="C36" s="268"/>
      <c r="D36" s="269"/>
      <c r="E36" s="406"/>
      <c r="F36" s="402"/>
      <c r="G36" s="407"/>
      <c r="H36" s="408"/>
      <c r="I36" s="408"/>
      <c r="J36" s="408"/>
      <c r="K36" s="408"/>
      <c r="L36" s="408"/>
      <c r="M36" s="409"/>
      <c r="N36" s="273"/>
    </row>
    <row r="37" spans="1:14" ht="20.100000000000001" customHeight="1" x14ac:dyDescent="0.25">
      <c r="A37" s="273"/>
      <c r="B37" s="365"/>
      <c r="C37" s="454" t="s">
        <v>523</v>
      </c>
      <c r="D37" s="597"/>
      <c r="E37" s="597"/>
      <c r="F37" s="597"/>
      <c r="G37" s="597"/>
      <c r="H37" s="597"/>
      <c r="I37" s="460"/>
      <c r="J37" s="460"/>
      <c r="K37" s="460"/>
      <c r="L37" s="460"/>
      <c r="M37" s="461"/>
      <c r="N37" s="273"/>
    </row>
    <row r="38" spans="1:14" ht="20.100000000000001" customHeight="1" x14ac:dyDescent="0.25">
      <c r="A38" s="273"/>
      <c r="B38" s="365"/>
      <c r="C38" s="602" t="s">
        <v>495</v>
      </c>
      <c r="D38" s="603"/>
      <c r="E38" s="603"/>
      <c r="F38" s="603"/>
      <c r="G38" s="603"/>
      <c r="H38" s="603"/>
      <c r="I38" s="603"/>
      <c r="J38" s="603"/>
      <c r="K38" s="603"/>
      <c r="L38" s="603"/>
      <c r="M38" s="604"/>
      <c r="N38" s="273"/>
    </row>
    <row r="39" spans="1:14" ht="20.100000000000001" customHeight="1" x14ac:dyDescent="0.25">
      <c r="A39" s="273"/>
      <c r="B39" s="365"/>
      <c r="C39" s="437" t="s">
        <v>92</v>
      </c>
      <c r="D39" s="399" t="s">
        <v>496</v>
      </c>
      <c r="E39" s="435" t="s">
        <v>94</v>
      </c>
      <c r="F39" s="400" t="s">
        <v>497</v>
      </c>
      <c r="G39" s="400" t="s">
        <v>498</v>
      </c>
      <c r="H39" s="400" t="s">
        <v>499</v>
      </c>
      <c r="I39" s="405" t="s">
        <v>500</v>
      </c>
      <c r="J39" s="405" t="s">
        <v>501</v>
      </c>
      <c r="K39" s="405" t="s">
        <v>502</v>
      </c>
      <c r="L39" s="400" t="s">
        <v>503</v>
      </c>
      <c r="M39" s="438" t="s">
        <v>504</v>
      </c>
      <c r="N39" s="273"/>
    </row>
    <row r="40" spans="1:14" ht="20.100000000000001" customHeight="1" x14ac:dyDescent="0.25">
      <c r="A40" s="273"/>
      <c r="B40" s="365"/>
      <c r="C40" s="395" t="s">
        <v>505</v>
      </c>
      <c r="D40" s="56" t="s">
        <v>506</v>
      </c>
      <c r="E40" s="433" t="s">
        <v>507</v>
      </c>
      <c r="F40" s="455"/>
      <c r="G40" s="414"/>
      <c r="H40" s="415"/>
      <c r="I40" s="416"/>
      <c r="J40" s="417"/>
      <c r="K40" s="418"/>
      <c r="L40" s="415"/>
      <c r="M40" s="58">
        <f>(G40*M118)*L40*M116</f>
        <v>0</v>
      </c>
      <c r="N40" s="273"/>
    </row>
    <row r="41" spans="1:14" ht="20.100000000000001" customHeight="1" x14ac:dyDescent="0.25">
      <c r="A41" s="273"/>
      <c r="B41" s="365"/>
      <c r="C41" s="395" t="s">
        <v>508</v>
      </c>
      <c r="D41" s="56" t="s">
        <v>509</v>
      </c>
      <c r="E41" s="433" t="s">
        <v>510</v>
      </c>
      <c r="F41" s="414"/>
      <c r="G41" s="419"/>
      <c r="H41" s="415"/>
      <c r="I41" s="420"/>
      <c r="J41" s="421"/>
      <c r="K41" s="422"/>
      <c r="L41" s="415"/>
      <c r="M41" s="58">
        <f>F41*M119*(H41-H40)*L41*M116</f>
        <v>0</v>
      </c>
      <c r="N41" s="273"/>
    </row>
    <row r="42" spans="1:14" ht="20.100000000000001" customHeight="1" x14ac:dyDescent="0.25">
      <c r="A42" s="273"/>
      <c r="B42" s="365"/>
      <c r="C42" s="395" t="s">
        <v>511</v>
      </c>
      <c r="D42" s="56" t="s">
        <v>512</v>
      </c>
      <c r="E42" s="433" t="s">
        <v>513</v>
      </c>
      <c r="F42" s="423"/>
      <c r="G42" s="374"/>
      <c r="H42" s="418"/>
      <c r="I42" s="415"/>
      <c r="J42" s="424"/>
      <c r="K42" s="422"/>
      <c r="L42" s="415"/>
      <c r="M42" s="58">
        <f>I42*M120*L42*M116</f>
        <v>0</v>
      </c>
      <c r="N42" s="273"/>
    </row>
    <row r="43" spans="1:14" ht="20.100000000000001" customHeight="1" x14ac:dyDescent="0.25">
      <c r="A43" s="273"/>
      <c r="B43" s="365"/>
      <c r="C43" s="395" t="s">
        <v>511</v>
      </c>
      <c r="D43" s="56" t="s">
        <v>514</v>
      </c>
      <c r="E43" s="433" t="s">
        <v>513</v>
      </c>
      <c r="F43" s="425"/>
      <c r="G43" s="374"/>
      <c r="H43" s="422"/>
      <c r="I43" s="415"/>
      <c r="J43" s="424"/>
      <c r="K43" s="422"/>
      <c r="L43" s="415"/>
      <c r="M43" s="58">
        <f>I43*M121*L43*M116</f>
        <v>0</v>
      </c>
      <c r="N43" s="273"/>
    </row>
    <row r="44" spans="1:14" ht="20.100000000000001" customHeight="1" x14ac:dyDescent="0.25">
      <c r="A44" s="273"/>
      <c r="B44" s="365"/>
      <c r="C44" s="395" t="s">
        <v>511</v>
      </c>
      <c r="D44" s="56" t="s">
        <v>515</v>
      </c>
      <c r="E44" s="433" t="s">
        <v>513</v>
      </c>
      <c r="F44" s="425"/>
      <c r="G44" s="374"/>
      <c r="H44" s="422"/>
      <c r="I44" s="415"/>
      <c r="J44" s="424"/>
      <c r="K44" s="422"/>
      <c r="L44" s="415"/>
      <c r="M44" s="58">
        <f>I44*M122*L44*M116</f>
        <v>0</v>
      </c>
      <c r="N44" s="273"/>
    </row>
    <row r="45" spans="1:14" ht="20.100000000000001" customHeight="1" x14ac:dyDescent="0.25">
      <c r="A45" s="273"/>
      <c r="B45" s="365"/>
      <c r="C45" s="395" t="s">
        <v>511</v>
      </c>
      <c r="D45" s="162" t="s">
        <v>516</v>
      </c>
      <c r="E45" s="433" t="s">
        <v>513</v>
      </c>
      <c r="F45" s="425"/>
      <c r="G45" s="374"/>
      <c r="H45" s="422"/>
      <c r="I45" s="415"/>
      <c r="J45" s="424"/>
      <c r="K45" s="422"/>
      <c r="L45" s="415"/>
      <c r="M45" s="58">
        <f>I45*M123*L45*M116</f>
        <v>0</v>
      </c>
      <c r="N45" s="273"/>
    </row>
    <row r="46" spans="1:14" ht="20.100000000000001" customHeight="1" x14ac:dyDescent="0.25">
      <c r="A46" s="273"/>
      <c r="B46" s="365"/>
      <c r="C46" s="395" t="s">
        <v>511</v>
      </c>
      <c r="D46" s="162" t="s">
        <v>517</v>
      </c>
      <c r="E46" s="433" t="s">
        <v>513</v>
      </c>
      <c r="F46" s="425"/>
      <c r="G46" s="374"/>
      <c r="H46" s="422"/>
      <c r="I46" s="415"/>
      <c r="J46" s="424"/>
      <c r="K46" s="422"/>
      <c r="L46" s="415"/>
      <c r="M46" s="58">
        <f>I46*M124*L46*M116</f>
        <v>0</v>
      </c>
      <c r="N46" s="273"/>
    </row>
    <row r="47" spans="1:14" ht="20.100000000000001" customHeight="1" x14ac:dyDescent="0.25">
      <c r="A47" s="273"/>
      <c r="B47" s="365"/>
      <c r="C47" s="395" t="s">
        <v>511</v>
      </c>
      <c r="D47" s="56" t="s">
        <v>518</v>
      </c>
      <c r="E47" s="433" t="s">
        <v>513</v>
      </c>
      <c r="F47" s="425"/>
      <c r="G47" s="374"/>
      <c r="H47" s="422"/>
      <c r="I47" s="415"/>
      <c r="J47" s="420"/>
      <c r="K47" s="426"/>
      <c r="L47" s="415"/>
      <c r="M47" s="58">
        <f>I47*M125*L47*M116</f>
        <v>0</v>
      </c>
      <c r="N47" s="273"/>
    </row>
    <row r="48" spans="1:14" ht="20.100000000000001" customHeight="1" x14ac:dyDescent="0.25">
      <c r="A48" s="273"/>
      <c r="B48" s="365"/>
      <c r="C48" s="395" t="s">
        <v>519</v>
      </c>
      <c r="D48" s="56" t="s">
        <v>520</v>
      </c>
      <c r="E48" s="434" t="s">
        <v>521</v>
      </c>
      <c r="F48" s="425"/>
      <c r="G48" s="427"/>
      <c r="H48" s="421"/>
      <c r="I48" s="428"/>
      <c r="J48" s="415"/>
      <c r="K48" s="415"/>
      <c r="L48" s="415"/>
      <c r="M48" s="58">
        <f>(J48+(K48*0.2))*M126*L48*M116</f>
        <v>0</v>
      </c>
      <c r="N48" s="273"/>
    </row>
    <row r="49" spans="1:14" ht="20.100000000000001" customHeight="1" x14ac:dyDescent="0.25">
      <c r="A49" s="273"/>
      <c r="B49" s="365"/>
      <c r="C49" s="602" t="s">
        <v>522</v>
      </c>
      <c r="D49" s="603"/>
      <c r="E49" s="603"/>
      <c r="F49" s="603"/>
      <c r="G49" s="603"/>
      <c r="H49" s="603"/>
      <c r="I49" s="603"/>
      <c r="J49" s="603"/>
      <c r="K49" s="603"/>
      <c r="L49" s="603"/>
      <c r="M49" s="604"/>
      <c r="N49" s="273"/>
    </row>
    <row r="50" spans="1:14" ht="20.100000000000001" customHeight="1" x14ac:dyDescent="0.25">
      <c r="A50" s="273"/>
      <c r="B50" s="365"/>
      <c r="C50" s="437" t="s">
        <v>92</v>
      </c>
      <c r="D50" s="399" t="s">
        <v>496</v>
      </c>
      <c r="E50" s="435" t="s">
        <v>94</v>
      </c>
      <c r="F50" s="400" t="s">
        <v>497</v>
      </c>
      <c r="G50" s="400" t="s">
        <v>498</v>
      </c>
      <c r="H50" s="400" t="s">
        <v>499</v>
      </c>
      <c r="I50" s="405" t="s">
        <v>500</v>
      </c>
      <c r="J50" s="405" t="s">
        <v>501</v>
      </c>
      <c r="K50" s="405" t="s">
        <v>502</v>
      </c>
      <c r="L50" s="400" t="s">
        <v>503</v>
      </c>
      <c r="M50" s="438" t="s">
        <v>504</v>
      </c>
      <c r="N50" s="273"/>
    </row>
    <row r="51" spans="1:14" ht="20.100000000000001" customHeight="1" x14ac:dyDescent="0.25">
      <c r="A51" s="273"/>
      <c r="B51" s="365"/>
      <c r="C51" s="395" t="s">
        <v>505</v>
      </c>
      <c r="D51" s="56" t="s">
        <v>506</v>
      </c>
      <c r="E51" s="433" t="s">
        <v>507</v>
      </c>
      <c r="F51" s="419"/>
      <c r="G51" s="414"/>
      <c r="H51" s="416"/>
      <c r="I51" s="429"/>
      <c r="J51" s="417"/>
      <c r="K51" s="418"/>
      <c r="L51" s="415"/>
      <c r="M51" s="58">
        <f>(G51*M127)*L51*M116</f>
        <v>0</v>
      </c>
      <c r="N51" s="273"/>
    </row>
    <row r="52" spans="1:14" ht="20.100000000000001" customHeight="1" x14ac:dyDescent="0.25">
      <c r="A52" s="273"/>
      <c r="B52" s="365"/>
      <c r="C52" s="395" t="s">
        <v>511</v>
      </c>
      <c r="D52" s="56" t="s">
        <v>514</v>
      </c>
      <c r="E52" s="433" t="s">
        <v>513</v>
      </c>
      <c r="F52" s="425"/>
      <c r="G52" s="430"/>
      <c r="H52" s="422"/>
      <c r="I52" s="415"/>
      <c r="J52" s="424"/>
      <c r="K52" s="422"/>
      <c r="L52" s="415"/>
      <c r="M52" s="58">
        <f>I52*M128*L52*M116</f>
        <v>0</v>
      </c>
      <c r="N52" s="273"/>
    </row>
    <row r="53" spans="1:14" ht="20.100000000000001" customHeight="1" x14ac:dyDescent="0.25">
      <c r="A53" s="273"/>
      <c r="B53" s="365"/>
      <c r="C53" s="395" t="s">
        <v>511</v>
      </c>
      <c r="D53" s="56" t="s">
        <v>515</v>
      </c>
      <c r="E53" s="433" t="s">
        <v>513</v>
      </c>
      <c r="F53" s="425"/>
      <c r="G53" s="374"/>
      <c r="H53" s="422"/>
      <c r="I53" s="415"/>
      <c r="J53" s="424"/>
      <c r="K53" s="422"/>
      <c r="L53" s="415"/>
      <c r="M53" s="58">
        <f>I53*M129*L53*M116</f>
        <v>0</v>
      </c>
      <c r="N53" s="273"/>
    </row>
    <row r="54" spans="1:14" ht="20.100000000000001" customHeight="1" x14ac:dyDescent="0.25">
      <c r="A54" s="273"/>
      <c r="B54" s="365"/>
      <c r="C54" s="395" t="s">
        <v>511</v>
      </c>
      <c r="D54" s="162" t="s">
        <v>516</v>
      </c>
      <c r="E54" s="433" t="s">
        <v>513</v>
      </c>
      <c r="F54" s="425"/>
      <c r="G54" s="374"/>
      <c r="H54" s="422"/>
      <c r="I54" s="415"/>
      <c r="J54" s="424"/>
      <c r="K54" s="422"/>
      <c r="L54" s="415"/>
      <c r="M54" s="58">
        <f>I54*M130*L54*M116</f>
        <v>0</v>
      </c>
      <c r="N54" s="273"/>
    </row>
    <row r="55" spans="1:14" ht="20.100000000000001" customHeight="1" x14ac:dyDescent="0.25">
      <c r="A55" s="273"/>
      <c r="B55" s="365"/>
      <c r="C55" s="395" t="s">
        <v>511</v>
      </c>
      <c r="D55" s="162" t="s">
        <v>517</v>
      </c>
      <c r="E55" s="433" t="s">
        <v>513</v>
      </c>
      <c r="F55" s="425"/>
      <c r="G55" s="374"/>
      <c r="H55" s="422"/>
      <c r="I55" s="415"/>
      <c r="J55" s="424"/>
      <c r="K55" s="422"/>
      <c r="L55" s="415"/>
      <c r="M55" s="58">
        <f>I55*M131*L55*M116</f>
        <v>0</v>
      </c>
      <c r="N55" s="273"/>
    </row>
    <row r="56" spans="1:14" ht="20.100000000000001" customHeight="1" x14ac:dyDescent="0.25">
      <c r="A56" s="273"/>
      <c r="B56" s="365"/>
      <c r="C56" s="395" t="s">
        <v>511</v>
      </c>
      <c r="D56" s="56" t="s">
        <v>518</v>
      </c>
      <c r="E56" s="433" t="s">
        <v>513</v>
      </c>
      <c r="F56" s="425"/>
      <c r="G56" s="374"/>
      <c r="H56" s="422"/>
      <c r="I56" s="415"/>
      <c r="J56" s="420"/>
      <c r="K56" s="426"/>
      <c r="L56" s="415"/>
      <c r="M56" s="58">
        <f>I56*M132*L56*M116</f>
        <v>0</v>
      </c>
      <c r="N56" s="273"/>
    </row>
    <row r="57" spans="1:14" ht="20.100000000000001" customHeight="1" x14ac:dyDescent="0.25">
      <c r="A57" s="273"/>
      <c r="B57" s="365"/>
      <c r="C57" s="395" t="s">
        <v>519</v>
      </c>
      <c r="D57" s="56" t="s">
        <v>520</v>
      </c>
      <c r="E57" s="434" t="s">
        <v>521</v>
      </c>
      <c r="F57" s="458"/>
      <c r="G57" s="427"/>
      <c r="H57" s="459"/>
      <c r="I57" s="428"/>
      <c r="J57" s="415"/>
      <c r="K57" s="415"/>
      <c r="L57" s="415"/>
      <c r="M57" s="58">
        <f>(J57+(K57*0.2))*M133*L57*M116</f>
        <v>0</v>
      </c>
      <c r="N57" s="273"/>
    </row>
    <row r="58" spans="1:14" ht="20.100000000000001" customHeight="1" x14ac:dyDescent="0.25">
      <c r="A58" s="273"/>
      <c r="B58" s="365"/>
      <c r="C58" s="268"/>
      <c r="D58" s="269"/>
      <c r="E58" s="406"/>
      <c r="F58" s="402"/>
      <c r="G58" s="407"/>
      <c r="H58" s="408"/>
      <c r="I58" s="408"/>
      <c r="J58" s="408"/>
      <c r="K58" s="408"/>
      <c r="L58" s="408"/>
      <c r="M58" s="409"/>
      <c r="N58" s="273"/>
    </row>
    <row r="59" spans="1:14" ht="20.100000000000001" customHeight="1" x14ac:dyDescent="0.25">
      <c r="A59" s="273"/>
      <c r="B59" s="365"/>
      <c r="C59" s="451" t="s">
        <v>524</v>
      </c>
      <c r="D59" s="597"/>
      <c r="E59" s="597"/>
      <c r="F59" s="597"/>
      <c r="G59" s="597"/>
      <c r="H59" s="597"/>
      <c r="I59" s="456"/>
      <c r="J59" s="456"/>
      <c r="K59" s="456"/>
      <c r="L59" s="456"/>
      <c r="M59" s="457"/>
      <c r="N59" s="273"/>
    </row>
    <row r="60" spans="1:14" ht="20.100000000000001" customHeight="1" x14ac:dyDescent="0.25">
      <c r="A60" s="273"/>
      <c r="B60" s="365"/>
      <c r="C60" s="602" t="s">
        <v>495</v>
      </c>
      <c r="D60" s="603"/>
      <c r="E60" s="603"/>
      <c r="F60" s="603"/>
      <c r="G60" s="603"/>
      <c r="H60" s="603"/>
      <c r="I60" s="603"/>
      <c r="J60" s="603"/>
      <c r="K60" s="603"/>
      <c r="L60" s="603"/>
      <c r="M60" s="604"/>
      <c r="N60" s="273"/>
    </row>
    <row r="61" spans="1:14" ht="20.100000000000001" customHeight="1" x14ac:dyDescent="0.25">
      <c r="A61" s="273"/>
      <c r="B61" s="365"/>
      <c r="C61" s="437" t="s">
        <v>92</v>
      </c>
      <c r="D61" s="399" t="s">
        <v>496</v>
      </c>
      <c r="E61" s="435" t="s">
        <v>94</v>
      </c>
      <c r="F61" s="400" t="s">
        <v>497</v>
      </c>
      <c r="G61" s="400" t="s">
        <v>498</v>
      </c>
      <c r="H61" s="400" t="s">
        <v>499</v>
      </c>
      <c r="I61" s="436" t="s">
        <v>500</v>
      </c>
      <c r="J61" s="436" t="s">
        <v>501</v>
      </c>
      <c r="K61" s="436" t="s">
        <v>502</v>
      </c>
      <c r="L61" s="400" t="s">
        <v>503</v>
      </c>
      <c r="M61" s="438" t="s">
        <v>504</v>
      </c>
      <c r="N61" s="273"/>
    </row>
    <row r="62" spans="1:14" ht="20.100000000000001" customHeight="1" x14ac:dyDescent="0.25">
      <c r="A62" s="273"/>
      <c r="B62" s="365"/>
      <c r="C62" s="395" t="s">
        <v>505</v>
      </c>
      <c r="D62" s="56" t="s">
        <v>506</v>
      </c>
      <c r="E62" s="433" t="s">
        <v>507</v>
      </c>
      <c r="F62" s="455"/>
      <c r="G62" s="414"/>
      <c r="H62" s="415"/>
      <c r="I62" s="416"/>
      <c r="J62" s="417"/>
      <c r="K62" s="418"/>
      <c r="L62" s="415"/>
      <c r="M62" s="58">
        <f>(G62*M118)*L62*M116</f>
        <v>0</v>
      </c>
      <c r="N62" s="273"/>
    </row>
    <row r="63" spans="1:14" ht="20.100000000000001" customHeight="1" x14ac:dyDescent="0.25">
      <c r="A63" s="273"/>
      <c r="B63" s="365"/>
      <c r="C63" s="395" t="s">
        <v>508</v>
      </c>
      <c r="D63" s="56" t="s">
        <v>509</v>
      </c>
      <c r="E63" s="433" t="s">
        <v>510</v>
      </c>
      <c r="F63" s="414"/>
      <c r="G63" s="419"/>
      <c r="H63" s="415"/>
      <c r="I63" s="420"/>
      <c r="J63" s="421"/>
      <c r="K63" s="422"/>
      <c r="L63" s="415"/>
      <c r="M63" s="58">
        <f>F63*M119*(H63-H62)*L63*M116</f>
        <v>0</v>
      </c>
      <c r="N63" s="273"/>
    </row>
    <row r="64" spans="1:14" ht="20.100000000000001" customHeight="1" x14ac:dyDescent="0.25">
      <c r="A64" s="273"/>
      <c r="B64" s="365"/>
      <c r="C64" s="395" t="s">
        <v>511</v>
      </c>
      <c r="D64" s="56" t="s">
        <v>512</v>
      </c>
      <c r="E64" s="433" t="s">
        <v>513</v>
      </c>
      <c r="F64" s="423"/>
      <c r="G64" s="374"/>
      <c r="H64" s="418"/>
      <c r="I64" s="415"/>
      <c r="J64" s="424"/>
      <c r="K64" s="422"/>
      <c r="L64" s="415"/>
      <c r="M64" s="58">
        <f>I64*M120*L64*M116</f>
        <v>0</v>
      </c>
      <c r="N64" s="273"/>
    </row>
    <row r="65" spans="1:14" ht="20.100000000000001" customHeight="1" x14ac:dyDescent="0.25">
      <c r="A65" s="273"/>
      <c r="B65" s="365"/>
      <c r="C65" s="395" t="s">
        <v>511</v>
      </c>
      <c r="D65" s="56" t="s">
        <v>514</v>
      </c>
      <c r="E65" s="433" t="s">
        <v>513</v>
      </c>
      <c r="F65" s="425"/>
      <c r="G65" s="374"/>
      <c r="H65" s="422"/>
      <c r="I65" s="415"/>
      <c r="J65" s="424"/>
      <c r="K65" s="422"/>
      <c r="L65" s="415"/>
      <c r="M65" s="58">
        <f>I65*M121*L65*M116</f>
        <v>0</v>
      </c>
      <c r="N65" s="273"/>
    </row>
    <row r="66" spans="1:14" ht="20.100000000000001" customHeight="1" x14ac:dyDescent="0.25">
      <c r="A66" s="273"/>
      <c r="B66" s="365"/>
      <c r="C66" s="395" t="s">
        <v>511</v>
      </c>
      <c r="D66" s="56" t="s">
        <v>515</v>
      </c>
      <c r="E66" s="433" t="s">
        <v>513</v>
      </c>
      <c r="F66" s="425"/>
      <c r="G66" s="374"/>
      <c r="H66" s="422"/>
      <c r="I66" s="415"/>
      <c r="J66" s="424"/>
      <c r="K66" s="422"/>
      <c r="L66" s="415"/>
      <c r="M66" s="58">
        <f>I66*M122*L66*M116</f>
        <v>0</v>
      </c>
      <c r="N66" s="273"/>
    </row>
    <row r="67" spans="1:14" ht="20.100000000000001" customHeight="1" x14ac:dyDescent="0.25">
      <c r="A67" s="273"/>
      <c r="B67" s="365"/>
      <c r="C67" s="395" t="s">
        <v>511</v>
      </c>
      <c r="D67" s="162" t="s">
        <v>516</v>
      </c>
      <c r="E67" s="433" t="s">
        <v>513</v>
      </c>
      <c r="F67" s="425"/>
      <c r="G67" s="374"/>
      <c r="H67" s="422"/>
      <c r="I67" s="415"/>
      <c r="J67" s="424"/>
      <c r="K67" s="422"/>
      <c r="L67" s="415"/>
      <c r="M67" s="58">
        <f>I67*M123*L67*M116</f>
        <v>0</v>
      </c>
      <c r="N67" s="273"/>
    </row>
    <row r="68" spans="1:14" ht="20.100000000000001" customHeight="1" x14ac:dyDescent="0.25">
      <c r="A68" s="273"/>
      <c r="B68" s="365"/>
      <c r="C68" s="395" t="s">
        <v>511</v>
      </c>
      <c r="D68" s="162" t="s">
        <v>517</v>
      </c>
      <c r="E68" s="433" t="s">
        <v>513</v>
      </c>
      <c r="F68" s="425"/>
      <c r="G68" s="374"/>
      <c r="H68" s="422"/>
      <c r="I68" s="415"/>
      <c r="J68" s="424"/>
      <c r="K68" s="422"/>
      <c r="L68" s="415"/>
      <c r="M68" s="58">
        <f>I68*M124*L68*M116</f>
        <v>0</v>
      </c>
      <c r="N68" s="273"/>
    </row>
    <row r="69" spans="1:14" ht="20.100000000000001" customHeight="1" x14ac:dyDescent="0.25">
      <c r="A69" s="273"/>
      <c r="B69" s="365"/>
      <c r="C69" s="395" t="s">
        <v>511</v>
      </c>
      <c r="D69" s="56" t="s">
        <v>518</v>
      </c>
      <c r="E69" s="433" t="s">
        <v>513</v>
      </c>
      <c r="F69" s="425"/>
      <c r="G69" s="374"/>
      <c r="H69" s="422"/>
      <c r="I69" s="415"/>
      <c r="J69" s="420"/>
      <c r="K69" s="426"/>
      <c r="L69" s="415"/>
      <c r="M69" s="58">
        <f>I69*M125*L69*M116</f>
        <v>0</v>
      </c>
      <c r="N69" s="273"/>
    </row>
    <row r="70" spans="1:14" ht="20.100000000000001" customHeight="1" x14ac:dyDescent="0.25">
      <c r="A70" s="273"/>
      <c r="B70" s="365"/>
      <c r="C70" s="395" t="s">
        <v>519</v>
      </c>
      <c r="D70" s="56" t="s">
        <v>520</v>
      </c>
      <c r="E70" s="434" t="s">
        <v>521</v>
      </c>
      <c r="F70" s="425"/>
      <c r="G70" s="427"/>
      <c r="H70" s="421"/>
      <c r="I70" s="428"/>
      <c r="J70" s="415"/>
      <c r="K70" s="415"/>
      <c r="L70" s="415"/>
      <c r="M70" s="58">
        <f>(J70+(K70*0.2))*M126*L70*M116</f>
        <v>0</v>
      </c>
      <c r="N70" s="273"/>
    </row>
    <row r="71" spans="1:14" ht="20.100000000000001" customHeight="1" x14ac:dyDescent="0.25">
      <c r="A71" s="273"/>
      <c r="B71" s="365"/>
      <c r="C71" s="602" t="s">
        <v>522</v>
      </c>
      <c r="D71" s="603"/>
      <c r="E71" s="603"/>
      <c r="F71" s="603"/>
      <c r="G71" s="603"/>
      <c r="H71" s="603"/>
      <c r="I71" s="603"/>
      <c r="J71" s="603"/>
      <c r="K71" s="603"/>
      <c r="L71" s="603"/>
      <c r="M71" s="604"/>
      <c r="N71" s="273"/>
    </row>
    <row r="72" spans="1:14" ht="20.100000000000001" customHeight="1" x14ac:dyDescent="0.25">
      <c r="A72" s="273"/>
      <c r="B72" s="365"/>
      <c r="C72" s="437" t="s">
        <v>92</v>
      </c>
      <c r="D72" s="399" t="s">
        <v>496</v>
      </c>
      <c r="E72" s="435" t="s">
        <v>94</v>
      </c>
      <c r="F72" s="445" t="s">
        <v>497</v>
      </c>
      <c r="G72" s="400" t="s">
        <v>498</v>
      </c>
      <c r="H72" s="400" t="s">
        <v>499</v>
      </c>
      <c r="I72" s="436" t="s">
        <v>500</v>
      </c>
      <c r="J72" s="436" t="s">
        <v>501</v>
      </c>
      <c r="K72" s="436" t="s">
        <v>502</v>
      </c>
      <c r="L72" s="400" t="s">
        <v>503</v>
      </c>
      <c r="M72" s="438" t="s">
        <v>504</v>
      </c>
      <c r="N72" s="273"/>
    </row>
    <row r="73" spans="1:14" ht="20.100000000000001" customHeight="1" x14ac:dyDescent="0.25">
      <c r="A73" s="273"/>
      <c r="B73" s="365"/>
      <c r="C73" s="395" t="s">
        <v>505</v>
      </c>
      <c r="D73" s="56" t="s">
        <v>506</v>
      </c>
      <c r="E73" s="433" t="s">
        <v>507</v>
      </c>
      <c r="F73" s="419"/>
      <c r="G73" s="414"/>
      <c r="H73" s="416"/>
      <c r="I73" s="429"/>
      <c r="J73" s="417"/>
      <c r="K73" s="418"/>
      <c r="L73" s="415"/>
      <c r="M73" s="58">
        <f>(G73*M127)*L73*M116</f>
        <v>0</v>
      </c>
      <c r="N73" s="273"/>
    </row>
    <row r="74" spans="1:14" ht="20.100000000000001" customHeight="1" x14ac:dyDescent="0.25">
      <c r="A74" s="273"/>
      <c r="B74" s="365"/>
      <c r="C74" s="395" t="s">
        <v>511</v>
      </c>
      <c r="D74" s="56" t="s">
        <v>514</v>
      </c>
      <c r="E74" s="433" t="s">
        <v>513</v>
      </c>
      <c r="F74" s="425"/>
      <c r="G74" s="430"/>
      <c r="H74" s="422"/>
      <c r="I74" s="415"/>
      <c r="J74" s="424"/>
      <c r="K74" s="422"/>
      <c r="L74" s="415"/>
      <c r="M74" s="58">
        <f>I74*M128*L74*M116</f>
        <v>0</v>
      </c>
      <c r="N74" s="273"/>
    </row>
    <row r="75" spans="1:14" ht="20.100000000000001" customHeight="1" x14ac:dyDescent="0.25">
      <c r="A75" s="273"/>
      <c r="B75" s="365"/>
      <c r="C75" s="395" t="s">
        <v>511</v>
      </c>
      <c r="D75" s="56" t="s">
        <v>515</v>
      </c>
      <c r="E75" s="433" t="s">
        <v>513</v>
      </c>
      <c r="F75" s="425"/>
      <c r="G75" s="374"/>
      <c r="H75" s="422"/>
      <c r="I75" s="415"/>
      <c r="J75" s="424"/>
      <c r="K75" s="422"/>
      <c r="L75" s="415"/>
      <c r="M75" s="58">
        <f>I75*M129*L75*M116</f>
        <v>0</v>
      </c>
      <c r="N75" s="273"/>
    </row>
    <row r="76" spans="1:14" ht="20.100000000000001" customHeight="1" x14ac:dyDescent="0.25">
      <c r="A76" s="273"/>
      <c r="B76" s="365"/>
      <c r="C76" s="395" t="s">
        <v>511</v>
      </c>
      <c r="D76" s="162" t="s">
        <v>516</v>
      </c>
      <c r="E76" s="433" t="s">
        <v>513</v>
      </c>
      <c r="F76" s="425"/>
      <c r="G76" s="374"/>
      <c r="H76" s="422"/>
      <c r="I76" s="415"/>
      <c r="J76" s="424"/>
      <c r="K76" s="422"/>
      <c r="L76" s="415"/>
      <c r="M76" s="58">
        <f>I76*M130*L76*M116</f>
        <v>0</v>
      </c>
      <c r="N76" s="273"/>
    </row>
    <row r="77" spans="1:14" ht="20.100000000000001" customHeight="1" x14ac:dyDescent="0.25">
      <c r="A77" s="273"/>
      <c r="B77" s="365"/>
      <c r="C77" s="395" t="s">
        <v>511</v>
      </c>
      <c r="D77" s="162" t="s">
        <v>517</v>
      </c>
      <c r="E77" s="433" t="s">
        <v>513</v>
      </c>
      <c r="F77" s="425"/>
      <c r="G77" s="374"/>
      <c r="H77" s="422"/>
      <c r="I77" s="415"/>
      <c r="J77" s="424"/>
      <c r="K77" s="422"/>
      <c r="L77" s="415"/>
      <c r="M77" s="58">
        <f>I77*M131*L77*M116</f>
        <v>0</v>
      </c>
      <c r="N77" s="273"/>
    </row>
    <row r="78" spans="1:14" ht="20.100000000000001" customHeight="1" x14ac:dyDescent="0.25">
      <c r="A78" s="273"/>
      <c r="B78" s="365"/>
      <c r="C78" s="395" t="s">
        <v>511</v>
      </c>
      <c r="D78" s="56" t="s">
        <v>518</v>
      </c>
      <c r="E78" s="433" t="s">
        <v>513</v>
      </c>
      <c r="F78" s="425"/>
      <c r="G78" s="374"/>
      <c r="H78" s="422"/>
      <c r="I78" s="415"/>
      <c r="J78" s="420"/>
      <c r="K78" s="426"/>
      <c r="L78" s="415"/>
      <c r="M78" s="58">
        <f>I78*M132*L78*M116</f>
        <v>0</v>
      </c>
      <c r="N78" s="273"/>
    </row>
    <row r="79" spans="1:14" ht="20.100000000000001" customHeight="1" x14ac:dyDescent="0.25">
      <c r="A79" s="273"/>
      <c r="B79" s="365"/>
      <c r="C79" s="395" t="s">
        <v>519</v>
      </c>
      <c r="D79" s="56" t="s">
        <v>520</v>
      </c>
      <c r="E79" s="434" t="s">
        <v>521</v>
      </c>
      <c r="F79" s="458"/>
      <c r="G79" s="427"/>
      <c r="H79" s="459"/>
      <c r="I79" s="428"/>
      <c r="J79" s="415"/>
      <c r="K79" s="415"/>
      <c r="L79" s="415"/>
      <c r="M79" s="58">
        <f>(J79+(K79*0.2))*M133*L79*M116</f>
        <v>0</v>
      </c>
      <c r="N79" s="273"/>
    </row>
    <row r="80" spans="1:14" ht="20.100000000000001" customHeight="1" x14ac:dyDescent="0.25">
      <c r="A80" s="273"/>
      <c r="B80" s="365"/>
      <c r="C80" s="268"/>
      <c r="D80" s="269"/>
      <c r="E80" s="406"/>
      <c r="F80" s="402"/>
      <c r="G80" s="407"/>
      <c r="H80" s="408"/>
      <c r="I80" s="408"/>
      <c r="J80" s="408"/>
      <c r="K80" s="408"/>
      <c r="L80" s="408"/>
      <c r="M80" s="409"/>
      <c r="N80" s="273"/>
    </row>
    <row r="81" spans="1:14" ht="20.100000000000001" customHeight="1" x14ac:dyDescent="0.25">
      <c r="A81" s="273"/>
      <c r="B81" s="365"/>
      <c r="C81" s="451" t="s">
        <v>525</v>
      </c>
      <c r="D81" s="597"/>
      <c r="E81" s="597"/>
      <c r="F81" s="597"/>
      <c r="G81" s="597"/>
      <c r="H81" s="597"/>
      <c r="I81" s="456"/>
      <c r="J81" s="456"/>
      <c r="K81" s="456"/>
      <c r="L81" s="456"/>
      <c r="M81" s="457"/>
      <c r="N81" s="273"/>
    </row>
    <row r="82" spans="1:14" ht="20.100000000000001" customHeight="1" x14ac:dyDescent="0.25">
      <c r="A82" s="273"/>
      <c r="B82" s="365"/>
      <c r="C82" s="602" t="s">
        <v>495</v>
      </c>
      <c r="D82" s="603"/>
      <c r="E82" s="603"/>
      <c r="F82" s="603"/>
      <c r="G82" s="603"/>
      <c r="H82" s="603"/>
      <c r="I82" s="603"/>
      <c r="J82" s="603"/>
      <c r="K82" s="603"/>
      <c r="L82" s="603"/>
      <c r="M82" s="604"/>
      <c r="N82" s="273"/>
    </row>
    <row r="83" spans="1:14" ht="20.100000000000001" customHeight="1" x14ac:dyDescent="0.25">
      <c r="A83" s="273"/>
      <c r="B83" s="365"/>
      <c r="C83" s="437" t="s">
        <v>92</v>
      </c>
      <c r="D83" s="399" t="s">
        <v>496</v>
      </c>
      <c r="E83" s="435" t="s">
        <v>94</v>
      </c>
      <c r="F83" s="400" t="s">
        <v>497</v>
      </c>
      <c r="G83" s="400" t="s">
        <v>498</v>
      </c>
      <c r="H83" s="400" t="s">
        <v>499</v>
      </c>
      <c r="I83" s="436" t="s">
        <v>500</v>
      </c>
      <c r="J83" s="436" t="s">
        <v>501</v>
      </c>
      <c r="K83" s="436" t="s">
        <v>502</v>
      </c>
      <c r="L83" s="400" t="s">
        <v>503</v>
      </c>
      <c r="M83" s="438" t="s">
        <v>504</v>
      </c>
      <c r="N83" s="273"/>
    </row>
    <row r="84" spans="1:14" ht="20.100000000000001" customHeight="1" x14ac:dyDescent="0.25">
      <c r="A84" s="273"/>
      <c r="B84" s="365"/>
      <c r="C84" s="395" t="s">
        <v>505</v>
      </c>
      <c r="D84" s="56" t="s">
        <v>506</v>
      </c>
      <c r="E84" s="433" t="s">
        <v>507</v>
      </c>
      <c r="F84" s="455"/>
      <c r="G84" s="414"/>
      <c r="H84" s="415"/>
      <c r="I84" s="416"/>
      <c r="J84" s="417"/>
      <c r="K84" s="418"/>
      <c r="L84" s="415"/>
      <c r="M84" s="58">
        <f>(G84*M118)*L84*M116</f>
        <v>0</v>
      </c>
      <c r="N84" s="273"/>
    </row>
    <row r="85" spans="1:14" ht="20.100000000000001" customHeight="1" x14ac:dyDescent="0.25">
      <c r="A85" s="273"/>
      <c r="B85" s="365"/>
      <c r="C85" s="395" t="s">
        <v>508</v>
      </c>
      <c r="D85" s="56" t="s">
        <v>509</v>
      </c>
      <c r="E85" s="433" t="s">
        <v>510</v>
      </c>
      <c r="F85" s="414"/>
      <c r="G85" s="419"/>
      <c r="H85" s="415"/>
      <c r="I85" s="420"/>
      <c r="J85" s="421"/>
      <c r="K85" s="422"/>
      <c r="L85" s="415"/>
      <c r="M85" s="58">
        <f>F85*M119*(H85-H84)*L85*M116</f>
        <v>0</v>
      </c>
      <c r="N85" s="273"/>
    </row>
    <row r="86" spans="1:14" ht="20.100000000000001" customHeight="1" x14ac:dyDescent="0.25">
      <c r="A86" s="273"/>
      <c r="B86" s="365"/>
      <c r="C86" s="395" t="s">
        <v>511</v>
      </c>
      <c r="D86" s="56" t="s">
        <v>512</v>
      </c>
      <c r="E86" s="433" t="s">
        <v>513</v>
      </c>
      <c r="F86" s="423"/>
      <c r="G86" s="374"/>
      <c r="H86" s="418"/>
      <c r="I86" s="415"/>
      <c r="J86" s="424"/>
      <c r="K86" s="422"/>
      <c r="L86" s="415"/>
      <c r="M86" s="58">
        <f>I86*M120*L86*M116</f>
        <v>0</v>
      </c>
      <c r="N86" s="273"/>
    </row>
    <row r="87" spans="1:14" ht="20.100000000000001" customHeight="1" x14ac:dyDescent="0.25">
      <c r="A87" s="273"/>
      <c r="B87" s="365"/>
      <c r="C87" s="395" t="s">
        <v>511</v>
      </c>
      <c r="D87" s="56" t="s">
        <v>514</v>
      </c>
      <c r="E87" s="433" t="s">
        <v>513</v>
      </c>
      <c r="F87" s="425"/>
      <c r="G87" s="374"/>
      <c r="H87" s="422"/>
      <c r="I87" s="415"/>
      <c r="J87" s="424"/>
      <c r="K87" s="422"/>
      <c r="L87" s="415"/>
      <c r="M87" s="58">
        <f>I87*M121*L87*M116</f>
        <v>0</v>
      </c>
      <c r="N87" s="273"/>
    </row>
    <row r="88" spans="1:14" ht="20.100000000000001" customHeight="1" x14ac:dyDescent="0.25">
      <c r="A88" s="273"/>
      <c r="B88" s="365"/>
      <c r="C88" s="395" t="s">
        <v>511</v>
      </c>
      <c r="D88" s="56" t="s">
        <v>515</v>
      </c>
      <c r="E88" s="433" t="s">
        <v>513</v>
      </c>
      <c r="F88" s="425"/>
      <c r="G88" s="374"/>
      <c r="H88" s="422"/>
      <c r="I88" s="415"/>
      <c r="J88" s="424"/>
      <c r="K88" s="422"/>
      <c r="L88" s="415"/>
      <c r="M88" s="58">
        <f>I88*M122*L88*M116</f>
        <v>0</v>
      </c>
      <c r="N88" s="273"/>
    </row>
    <row r="89" spans="1:14" ht="20.100000000000001" customHeight="1" x14ac:dyDescent="0.25">
      <c r="A89" s="273"/>
      <c r="B89" s="365"/>
      <c r="C89" s="395" t="s">
        <v>511</v>
      </c>
      <c r="D89" s="162" t="s">
        <v>516</v>
      </c>
      <c r="E89" s="433" t="s">
        <v>513</v>
      </c>
      <c r="F89" s="425"/>
      <c r="G89" s="374"/>
      <c r="H89" s="422"/>
      <c r="I89" s="415"/>
      <c r="J89" s="424"/>
      <c r="K89" s="422"/>
      <c r="L89" s="415"/>
      <c r="M89" s="58">
        <f>I89*M123*L89*M116</f>
        <v>0</v>
      </c>
      <c r="N89" s="273"/>
    </row>
    <row r="90" spans="1:14" ht="20.100000000000001" customHeight="1" x14ac:dyDescent="0.25">
      <c r="A90" s="273"/>
      <c r="B90" s="365"/>
      <c r="C90" s="395" t="s">
        <v>511</v>
      </c>
      <c r="D90" s="162" t="s">
        <v>517</v>
      </c>
      <c r="E90" s="433" t="s">
        <v>513</v>
      </c>
      <c r="F90" s="425"/>
      <c r="G90" s="374"/>
      <c r="H90" s="422"/>
      <c r="I90" s="415"/>
      <c r="J90" s="424"/>
      <c r="K90" s="422"/>
      <c r="L90" s="415"/>
      <c r="M90" s="58">
        <f>I90*M124*L90*M116</f>
        <v>0</v>
      </c>
      <c r="N90" s="273"/>
    </row>
    <row r="91" spans="1:14" ht="20.100000000000001" customHeight="1" x14ac:dyDescent="0.25">
      <c r="A91" s="273"/>
      <c r="B91" s="365"/>
      <c r="C91" s="395" t="s">
        <v>511</v>
      </c>
      <c r="D91" s="56" t="s">
        <v>518</v>
      </c>
      <c r="E91" s="433" t="s">
        <v>513</v>
      </c>
      <c r="F91" s="425"/>
      <c r="G91" s="374"/>
      <c r="H91" s="422"/>
      <c r="I91" s="415"/>
      <c r="J91" s="420"/>
      <c r="K91" s="426"/>
      <c r="L91" s="415"/>
      <c r="M91" s="58">
        <f>I91*M125*L91*M116</f>
        <v>0</v>
      </c>
      <c r="N91" s="273"/>
    </row>
    <row r="92" spans="1:14" ht="20.100000000000001" customHeight="1" x14ac:dyDescent="0.25">
      <c r="A92" s="273"/>
      <c r="B92" s="365"/>
      <c r="C92" s="395" t="s">
        <v>519</v>
      </c>
      <c r="D92" s="56" t="s">
        <v>520</v>
      </c>
      <c r="E92" s="434" t="s">
        <v>521</v>
      </c>
      <c r="F92" s="425"/>
      <c r="G92" s="427"/>
      <c r="H92" s="421"/>
      <c r="I92" s="428"/>
      <c r="J92" s="415"/>
      <c r="K92" s="415"/>
      <c r="L92" s="415"/>
      <c r="M92" s="58">
        <f>(J92+(K92*0.2))*M126*L92*M116</f>
        <v>0</v>
      </c>
      <c r="N92" s="273"/>
    </row>
    <row r="93" spans="1:14" ht="20.100000000000001" customHeight="1" x14ac:dyDescent="0.25">
      <c r="A93" s="273"/>
      <c r="B93" s="365"/>
      <c r="C93" s="602" t="s">
        <v>522</v>
      </c>
      <c r="D93" s="603"/>
      <c r="E93" s="603"/>
      <c r="F93" s="603"/>
      <c r="G93" s="603"/>
      <c r="H93" s="603"/>
      <c r="I93" s="603"/>
      <c r="J93" s="603"/>
      <c r="K93" s="603"/>
      <c r="L93" s="603"/>
      <c r="M93" s="604"/>
      <c r="N93" s="273"/>
    </row>
    <row r="94" spans="1:14" ht="20.100000000000001" customHeight="1" x14ac:dyDescent="0.25">
      <c r="A94" s="273"/>
      <c r="B94" s="365"/>
      <c r="C94" s="437" t="s">
        <v>92</v>
      </c>
      <c r="D94" s="399" t="s">
        <v>496</v>
      </c>
      <c r="E94" s="435" t="s">
        <v>94</v>
      </c>
      <c r="F94" s="400" t="s">
        <v>497</v>
      </c>
      <c r="G94" s="400" t="s">
        <v>498</v>
      </c>
      <c r="H94" s="400" t="s">
        <v>499</v>
      </c>
      <c r="I94" s="405" t="s">
        <v>500</v>
      </c>
      <c r="J94" s="405" t="s">
        <v>501</v>
      </c>
      <c r="K94" s="405" t="s">
        <v>502</v>
      </c>
      <c r="L94" s="400" t="s">
        <v>503</v>
      </c>
      <c r="M94" s="438" t="s">
        <v>504</v>
      </c>
      <c r="N94" s="273"/>
    </row>
    <row r="95" spans="1:14" ht="20.100000000000001" customHeight="1" x14ac:dyDescent="0.25">
      <c r="A95" s="273"/>
      <c r="B95" s="365"/>
      <c r="C95" s="395" t="s">
        <v>505</v>
      </c>
      <c r="D95" s="56" t="s">
        <v>506</v>
      </c>
      <c r="E95" s="433" t="s">
        <v>507</v>
      </c>
      <c r="F95" s="419"/>
      <c r="G95" s="414"/>
      <c r="H95" s="416"/>
      <c r="I95" s="429"/>
      <c r="J95" s="417"/>
      <c r="K95" s="418"/>
      <c r="L95" s="415"/>
      <c r="M95" s="58">
        <f>(G95*M127)*L95*M116</f>
        <v>0</v>
      </c>
      <c r="N95" s="273"/>
    </row>
    <row r="96" spans="1:14" ht="20.100000000000001" customHeight="1" x14ac:dyDescent="0.25">
      <c r="A96" s="273"/>
      <c r="B96" s="365"/>
      <c r="C96" s="395" t="s">
        <v>511</v>
      </c>
      <c r="D96" s="56" t="s">
        <v>514</v>
      </c>
      <c r="E96" s="433" t="s">
        <v>513</v>
      </c>
      <c r="F96" s="425"/>
      <c r="G96" s="430"/>
      <c r="H96" s="422"/>
      <c r="I96" s="415"/>
      <c r="J96" s="424"/>
      <c r="K96" s="422"/>
      <c r="L96" s="415"/>
      <c r="M96" s="58">
        <f>I96*M128*L96*M116</f>
        <v>0</v>
      </c>
      <c r="N96" s="273"/>
    </row>
    <row r="97" spans="1:15" ht="20.100000000000001" customHeight="1" x14ac:dyDescent="0.25">
      <c r="A97" s="273"/>
      <c r="B97" s="365"/>
      <c r="C97" s="395" t="s">
        <v>511</v>
      </c>
      <c r="D97" s="56" t="s">
        <v>515</v>
      </c>
      <c r="E97" s="433" t="s">
        <v>513</v>
      </c>
      <c r="F97" s="425"/>
      <c r="G97" s="374"/>
      <c r="H97" s="422"/>
      <c r="I97" s="415"/>
      <c r="J97" s="424"/>
      <c r="K97" s="422"/>
      <c r="L97" s="415"/>
      <c r="M97" s="58">
        <f>I97*M129*L97*M116</f>
        <v>0</v>
      </c>
      <c r="N97" s="273"/>
    </row>
    <row r="98" spans="1:15" ht="20.100000000000001" customHeight="1" x14ac:dyDescent="0.25">
      <c r="A98" s="273"/>
      <c r="B98" s="365"/>
      <c r="C98" s="395" t="s">
        <v>511</v>
      </c>
      <c r="D98" s="162" t="s">
        <v>516</v>
      </c>
      <c r="E98" s="433" t="s">
        <v>513</v>
      </c>
      <c r="F98" s="425"/>
      <c r="G98" s="374"/>
      <c r="H98" s="422"/>
      <c r="I98" s="415"/>
      <c r="J98" s="424"/>
      <c r="K98" s="422"/>
      <c r="L98" s="415"/>
      <c r="M98" s="58">
        <f>I98*M130*L98*M116</f>
        <v>0</v>
      </c>
      <c r="N98" s="273"/>
    </row>
    <row r="99" spans="1:15" ht="20.100000000000001" customHeight="1" x14ac:dyDescent="0.25">
      <c r="A99" s="273"/>
      <c r="B99" s="365"/>
      <c r="C99" s="395" t="s">
        <v>511</v>
      </c>
      <c r="D99" s="162" t="s">
        <v>517</v>
      </c>
      <c r="E99" s="433" t="s">
        <v>513</v>
      </c>
      <c r="F99" s="425"/>
      <c r="G99" s="374"/>
      <c r="H99" s="422"/>
      <c r="I99" s="415"/>
      <c r="J99" s="424"/>
      <c r="K99" s="422"/>
      <c r="L99" s="415"/>
      <c r="M99" s="58">
        <f>I99*M131*L99*M116</f>
        <v>0</v>
      </c>
      <c r="N99" s="273"/>
    </row>
    <row r="100" spans="1:15" ht="20.100000000000001" customHeight="1" x14ac:dyDescent="0.25">
      <c r="A100" s="273"/>
      <c r="B100" s="365"/>
      <c r="C100" s="395" t="s">
        <v>511</v>
      </c>
      <c r="D100" s="56" t="s">
        <v>518</v>
      </c>
      <c r="E100" s="433" t="s">
        <v>513</v>
      </c>
      <c r="F100" s="425"/>
      <c r="G100" s="374"/>
      <c r="H100" s="422"/>
      <c r="I100" s="415"/>
      <c r="J100" s="420"/>
      <c r="K100" s="426"/>
      <c r="L100" s="415"/>
      <c r="M100" s="58">
        <f>I100*M132*L100*M116</f>
        <v>0</v>
      </c>
      <c r="N100" s="273"/>
    </row>
    <row r="101" spans="1:15" ht="20.100000000000001" customHeight="1" x14ac:dyDescent="0.25">
      <c r="A101" s="273"/>
      <c r="B101" s="365"/>
      <c r="C101" s="395" t="s">
        <v>519</v>
      </c>
      <c r="D101" s="56" t="s">
        <v>520</v>
      </c>
      <c r="E101" s="434" t="s">
        <v>521</v>
      </c>
      <c r="F101" s="458"/>
      <c r="G101" s="427"/>
      <c r="H101" s="459"/>
      <c r="I101" s="428"/>
      <c r="J101" s="415"/>
      <c r="K101" s="415"/>
      <c r="L101" s="415"/>
      <c r="M101" s="58">
        <f>(J101+(K101*0.2))*M133*L101*M116</f>
        <v>0</v>
      </c>
      <c r="N101" s="273"/>
    </row>
    <row r="102" spans="1:15" x14ac:dyDescent="0.25">
      <c r="A102" s="273"/>
      <c r="B102" s="286"/>
      <c r="C102" s="269"/>
      <c r="D102" s="269"/>
      <c r="E102" s="270"/>
      <c r="F102" s="270"/>
      <c r="G102" s="273"/>
      <c r="H102" s="273"/>
      <c r="I102" s="273"/>
      <c r="J102" s="273"/>
      <c r="K102" s="273"/>
      <c r="L102" s="273"/>
      <c r="M102" s="273"/>
      <c r="N102" s="273"/>
    </row>
    <row r="103" spans="1:15" s="151" customFormat="1" ht="24.95" customHeight="1" x14ac:dyDescent="0.25">
      <c r="A103" s="291"/>
      <c r="B103" s="145" t="s">
        <v>356</v>
      </c>
      <c r="C103" s="149"/>
      <c r="D103" s="150"/>
      <c r="E103" s="157"/>
      <c r="F103" s="149"/>
      <c r="G103" s="149"/>
      <c r="H103" s="149"/>
      <c r="I103" s="149"/>
      <c r="J103" s="149"/>
      <c r="K103" s="149"/>
      <c r="L103" s="149"/>
      <c r="M103" s="149"/>
      <c r="N103" s="291"/>
    </row>
    <row r="104" spans="1:15" ht="15.75" customHeight="1" x14ac:dyDescent="0.25">
      <c r="A104" s="273"/>
      <c r="B104" s="362"/>
      <c r="C104" s="275"/>
      <c r="D104" s="273"/>
      <c r="E104" s="274"/>
      <c r="F104" s="273"/>
      <c r="G104" s="273"/>
      <c r="H104" s="273"/>
      <c r="I104" s="273"/>
      <c r="J104" s="273"/>
      <c r="K104" s="273"/>
      <c r="L104" s="273"/>
      <c r="M104" s="273"/>
      <c r="N104" s="273"/>
    </row>
    <row r="105" spans="1:15" s="152" customFormat="1" ht="45" customHeight="1" x14ac:dyDescent="0.25">
      <c r="A105" s="323"/>
      <c r="B105" s="396" t="s">
        <v>357</v>
      </c>
      <c r="C105" s="276" t="s">
        <v>91</v>
      </c>
      <c r="D105" s="397"/>
      <c r="E105" s="397"/>
      <c r="F105" s="300"/>
      <c r="G105" s="300"/>
      <c r="H105" s="300"/>
      <c r="I105" s="300"/>
      <c r="J105" s="300"/>
      <c r="K105" s="300"/>
      <c r="L105" s="601" t="str">
        <f>IF(SUM(M106:M107)&gt;0,SUM(M106:M107),"Para simular a taxa aplicável, deve preencher os campos do formulário de acordo com a ocupação")</f>
        <v>Para simular a taxa aplicável, deve preencher os campos do formulário de acordo com a ocupação</v>
      </c>
      <c r="M105" s="601"/>
      <c r="N105" s="323"/>
    </row>
    <row r="106" spans="1:15" s="152" customFormat="1" ht="30" customHeight="1" x14ac:dyDescent="0.25">
      <c r="A106" s="323"/>
      <c r="B106" s="383" t="s">
        <v>360</v>
      </c>
      <c r="C106" s="587" t="s">
        <v>526</v>
      </c>
      <c r="D106" s="587"/>
      <c r="E106" s="304"/>
      <c r="F106" s="304" t="s">
        <v>527</v>
      </c>
      <c r="G106" s="303"/>
      <c r="H106" s="303"/>
      <c r="I106" s="303"/>
      <c r="J106" s="303"/>
      <c r="K106" s="303"/>
      <c r="L106" s="303"/>
      <c r="M106" s="303" t="str">
        <f>IF(M11="","Preencher 1",IF(M11="Prorrogação do prazo do título de ocupação da via pública","Não se aplica",IF(OR(M11="Aprovação do plano e emissão de licença de ocupação da via pública",M11="Alteração à licença de ocupação da via pública"),'SIMULADOR_TAXAS ADMINISTRATIVAS'!D88,"")))</f>
        <v>Preencher 1</v>
      </c>
      <c r="N106" s="323"/>
    </row>
    <row r="107" spans="1:15" s="154" customFormat="1" ht="15.95" customHeight="1" x14ac:dyDescent="0.25">
      <c r="A107" s="324"/>
      <c r="B107" s="383" t="s">
        <v>363</v>
      </c>
      <c r="C107" s="385" t="s">
        <v>528</v>
      </c>
      <c r="D107" s="304"/>
      <c r="E107" s="304"/>
      <c r="F107" s="304" t="s">
        <v>529</v>
      </c>
      <c r="G107" s="303"/>
      <c r="H107" s="303"/>
      <c r="I107" s="303"/>
      <c r="J107" s="303"/>
      <c r="K107" s="303"/>
      <c r="L107" s="303"/>
      <c r="M107" s="303" t="str">
        <f>IF(M11="","Preencher 1",IF(OR(M11="Aprovação do plano e emissão de licença de ocupação da via pública",M11="Alteração à licença de ocupação da via pública"),"Não se aplica",IF(M11="Prorrogação do prazo do título de ocupação da via pública",'SIMULADOR_TAXAS ADMINISTRATIVAS'!D90,"")))</f>
        <v>Preencher 1</v>
      </c>
      <c r="N107" s="324"/>
    </row>
    <row r="108" spans="1:15" s="154" customFormat="1" ht="15" x14ac:dyDescent="0.25">
      <c r="A108" s="324"/>
      <c r="B108" s="362"/>
      <c r="C108" s="298"/>
      <c r="D108" s="269"/>
      <c r="E108" s="303"/>
      <c r="F108" s="303"/>
      <c r="G108" s="303"/>
      <c r="H108" s="303"/>
      <c r="I108" s="303"/>
      <c r="J108" s="303"/>
      <c r="K108" s="303"/>
      <c r="L108" s="303"/>
      <c r="M108" s="303"/>
      <c r="N108" s="324"/>
    </row>
    <row r="109" spans="1:15" s="154" customFormat="1" ht="45" customHeight="1" x14ac:dyDescent="0.25">
      <c r="A109" s="324"/>
      <c r="B109" s="396" t="s">
        <v>357</v>
      </c>
      <c r="C109" s="276" t="s">
        <v>530</v>
      </c>
      <c r="D109" s="306"/>
      <c r="E109" s="398"/>
      <c r="F109" s="600" t="s">
        <v>531</v>
      </c>
      <c r="G109" s="600"/>
      <c r="H109" s="300"/>
      <c r="I109" s="300"/>
      <c r="J109" s="300"/>
      <c r="K109" s="300"/>
      <c r="L109" s="601" t="str">
        <f>IF(SUM(M18:M26,M29:M35,M40:M48,M51:M57,M62:M70,M73:M79,M84:M92,M95:M101)=0,"Para simular a taxa aplicável, deve preencher os campos do formulário de acordo com a ocupação",SUM(M18:M26,M29:M35,M40:M48,M51:M57,M62:M70,M73:M79,M84:M92,M95:M101))</f>
        <v>Para simular a taxa aplicável, deve preencher os campos do formulário de acordo com a ocupação</v>
      </c>
      <c r="M109" s="601"/>
      <c r="N109" s="323"/>
      <c r="O109" s="152"/>
    </row>
    <row r="110" spans="1:15" s="154" customFormat="1" ht="15.95" customHeight="1" x14ac:dyDescent="0.25">
      <c r="A110" s="324"/>
      <c r="B110" s="396"/>
      <c r="C110" s="276"/>
      <c r="D110" s="306"/>
      <c r="E110" s="398"/>
      <c r="F110" s="358"/>
      <c r="G110" s="358"/>
      <c r="H110" s="300"/>
      <c r="I110" s="300"/>
      <c r="J110" s="300"/>
      <c r="K110" s="300"/>
      <c r="L110" s="300"/>
      <c r="M110" s="300"/>
      <c r="N110" s="323"/>
      <c r="O110" s="152"/>
    </row>
    <row r="111" spans="1:15" s="154" customFormat="1" ht="45" customHeight="1" x14ac:dyDescent="0.25">
      <c r="A111" s="324"/>
      <c r="B111" s="410" t="s">
        <v>357</v>
      </c>
      <c r="C111" s="326" t="s">
        <v>469</v>
      </c>
      <c r="D111" s="411"/>
      <c r="E111" s="412"/>
      <c r="F111" s="413"/>
      <c r="G111" s="413"/>
      <c r="H111" s="312"/>
      <c r="I111" s="312"/>
      <c r="J111" s="312"/>
      <c r="K111" s="312"/>
      <c r="L111" s="599" t="str">
        <f>IF(OR(L105="Para simular a taxa aplicável, deve preencher os campos do formulário de acordo com a ocupação",L109="Para simular a taxa aplicável, deve preencher os campos do formulário de acordo com a ocupação"),"Para apurar valor, deve preencher os campos do formulário de acordo com a ocupação",IF(AND(L105="Não se aplica",L109="Não se aplica"),"Não se aplica",IF(SUM(L105,L109)&gt;0,SUM(L105,L109))))</f>
        <v>Para apurar valor, deve preencher os campos do formulário de acordo com a ocupação</v>
      </c>
      <c r="M111" s="599"/>
      <c r="N111" s="323"/>
      <c r="O111" s="152"/>
    </row>
    <row r="112" spans="1:15" ht="15.75" customHeight="1" x14ac:dyDescent="0.25">
      <c r="A112" s="273"/>
      <c r="B112" s="362"/>
      <c r="C112" s="275"/>
      <c r="D112" s="273"/>
      <c r="E112" s="274"/>
      <c r="F112" s="273"/>
      <c r="G112" s="273"/>
      <c r="H112" s="273"/>
      <c r="I112" s="273"/>
      <c r="J112" s="273"/>
      <c r="K112" s="273"/>
      <c r="L112" s="273"/>
      <c r="M112" s="273"/>
      <c r="N112" s="273"/>
    </row>
    <row r="113" spans="1:15" ht="24.95" customHeight="1" x14ac:dyDescent="0.25">
      <c r="A113" s="273"/>
      <c r="B113" s="145" t="s">
        <v>70</v>
      </c>
      <c r="C113" s="149"/>
      <c r="D113" s="150"/>
      <c r="E113" s="157"/>
      <c r="F113" s="149"/>
      <c r="G113" s="149"/>
      <c r="H113" s="149"/>
      <c r="I113" s="149"/>
      <c r="J113" s="149"/>
      <c r="K113" s="149"/>
      <c r="L113" s="149"/>
      <c r="M113" s="149"/>
      <c r="N113" s="291"/>
      <c r="O113" s="151"/>
    </row>
    <row r="114" spans="1:15" ht="15.75" customHeight="1" x14ac:dyDescent="0.25">
      <c r="A114" s="273"/>
      <c r="B114" s="272"/>
      <c r="C114" s="291"/>
      <c r="D114" s="292"/>
      <c r="E114" s="293"/>
      <c r="F114" s="291"/>
      <c r="G114" s="291"/>
      <c r="H114" s="291"/>
      <c r="I114" s="291"/>
      <c r="J114" s="291"/>
      <c r="K114" s="291"/>
      <c r="L114" s="291"/>
      <c r="M114" s="291"/>
      <c r="N114" s="291"/>
      <c r="O114" s="151"/>
    </row>
    <row r="115" spans="1:15" s="151" customFormat="1" ht="15.95" customHeight="1" x14ac:dyDescent="0.25">
      <c r="A115" s="291"/>
      <c r="B115" s="301" t="s">
        <v>381</v>
      </c>
      <c r="C115" s="304" t="s">
        <v>382</v>
      </c>
      <c r="D115" s="315"/>
      <c r="E115" s="291"/>
      <c r="F115" s="323"/>
      <c r="G115" s="323"/>
      <c r="H115" s="323"/>
      <c r="I115" s="323"/>
      <c r="J115" s="323"/>
      <c r="K115" s="323"/>
      <c r="L115" s="323"/>
      <c r="M115" s="316">
        <f>TABELAS_COEFICIENTES!B2</f>
        <v>94.08</v>
      </c>
      <c r="N115" s="323"/>
      <c r="O115" s="152"/>
    </row>
    <row r="116" spans="1:15" s="152" customFormat="1" ht="15.75" customHeight="1" x14ac:dyDescent="0.25">
      <c r="A116" s="323"/>
      <c r="B116" s="301" t="s">
        <v>532</v>
      </c>
      <c r="C116" s="304" t="s">
        <v>533</v>
      </c>
      <c r="D116" s="315"/>
      <c r="E116" s="323"/>
      <c r="F116" s="323"/>
      <c r="G116" s="323"/>
      <c r="H116" s="323"/>
      <c r="I116" s="323"/>
      <c r="J116" s="323"/>
      <c r="K116" s="323"/>
      <c r="L116" s="323"/>
      <c r="M116" s="316">
        <f>TABELAS_COEFICIENTES!B3</f>
        <v>13.07</v>
      </c>
      <c r="N116" s="323"/>
    </row>
    <row r="117" spans="1:15" s="152" customFormat="1" ht="15.75" customHeight="1" x14ac:dyDescent="0.25">
      <c r="A117" s="323"/>
      <c r="B117" s="301" t="s">
        <v>534</v>
      </c>
      <c r="C117" s="304" t="s">
        <v>535</v>
      </c>
      <c r="D117" s="315"/>
      <c r="E117" s="323"/>
      <c r="F117" s="323"/>
      <c r="G117" s="323"/>
      <c r="H117" s="323"/>
      <c r="I117" s="323"/>
      <c r="J117" s="323"/>
      <c r="K117" s="323"/>
      <c r="L117" s="323"/>
      <c r="M117" s="316"/>
      <c r="N117" s="323"/>
    </row>
    <row r="118" spans="1:15" s="152" customFormat="1" ht="15.75" customHeight="1" x14ac:dyDescent="0.25">
      <c r="A118" s="323"/>
      <c r="B118" s="301"/>
      <c r="C118" s="304"/>
      <c r="D118" s="320" t="s">
        <v>536</v>
      </c>
      <c r="E118" s="450" t="s">
        <v>506</v>
      </c>
      <c r="F118" s="323"/>
      <c r="G118" s="323"/>
      <c r="H118" s="323"/>
      <c r="I118" s="323"/>
      <c r="J118" s="323"/>
      <c r="K118" s="323"/>
      <c r="L118" s="323"/>
      <c r="M118" s="462">
        <f>TABELAS_COEFICIENTES!G11</f>
        <v>0.55000000000000004</v>
      </c>
      <c r="N118" s="323"/>
    </row>
    <row r="119" spans="1:15" s="152" customFormat="1" ht="15.75" customHeight="1" x14ac:dyDescent="0.25">
      <c r="A119" s="323"/>
      <c r="B119" s="301"/>
      <c r="C119" s="304"/>
      <c r="D119" s="450"/>
      <c r="E119" s="450" t="s">
        <v>509</v>
      </c>
      <c r="F119" s="323"/>
      <c r="G119" s="323"/>
      <c r="H119" s="323"/>
      <c r="I119" s="323"/>
      <c r="J119" s="323"/>
      <c r="K119" s="323"/>
      <c r="L119" s="323"/>
      <c r="M119" s="462">
        <f>TABELAS_COEFICIENTES!G12</f>
        <v>0.12</v>
      </c>
      <c r="N119" s="323"/>
    </row>
    <row r="120" spans="1:15" s="152" customFormat="1" ht="15.75" customHeight="1" x14ac:dyDescent="0.25">
      <c r="A120" s="323"/>
      <c r="B120" s="301"/>
      <c r="C120" s="304"/>
      <c r="D120" s="450"/>
      <c r="E120" s="450" t="s">
        <v>512</v>
      </c>
      <c r="F120" s="323"/>
      <c r="G120" s="323"/>
      <c r="H120" s="323"/>
      <c r="I120" s="323"/>
      <c r="J120" s="323"/>
      <c r="K120" s="323"/>
      <c r="L120" s="323"/>
      <c r="M120" s="462">
        <f>TABELAS_COEFICIENTES!G13</f>
        <v>6</v>
      </c>
      <c r="N120" s="323"/>
    </row>
    <row r="121" spans="1:15" s="152" customFormat="1" ht="15.75" customHeight="1" x14ac:dyDescent="0.25">
      <c r="A121" s="323"/>
      <c r="B121" s="301"/>
      <c r="C121" s="304"/>
      <c r="D121" s="450"/>
      <c r="E121" s="450" t="s">
        <v>514</v>
      </c>
      <c r="F121" s="323"/>
      <c r="G121" s="323"/>
      <c r="H121" s="323"/>
      <c r="I121" s="323"/>
      <c r="J121" s="323"/>
      <c r="K121" s="323"/>
      <c r="L121" s="323"/>
      <c r="M121" s="462">
        <f>TABELAS_COEFICIENTES!G14</f>
        <v>6</v>
      </c>
      <c r="N121" s="323"/>
    </row>
    <row r="122" spans="1:15" s="152" customFormat="1" ht="15.75" customHeight="1" x14ac:dyDescent="0.25">
      <c r="A122" s="323"/>
      <c r="B122" s="301"/>
      <c r="C122" s="304"/>
      <c r="D122" s="450"/>
      <c r="E122" s="450" t="s">
        <v>515</v>
      </c>
      <c r="F122" s="323"/>
      <c r="G122" s="323"/>
      <c r="H122" s="323"/>
      <c r="I122" s="323"/>
      <c r="J122" s="323"/>
      <c r="K122" s="323"/>
      <c r="L122" s="323"/>
      <c r="M122" s="462">
        <f>TABELAS_COEFICIENTES!G15</f>
        <v>8</v>
      </c>
      <c r="N122" s="323"/>
    </row>
    <row r="123" spans="1:15" s="152" customFormat="1" ht="15.75" customHeight="1" x14ac:dyDescent="0.25">
      <c r="A123" s="323"/>
      <c r="B123" s="301"/>
      <c r="C123" s="304"/>
      <c r="D123" s="450"/>
      <c r="E123" s="450" t="s">
        <v>516</v>
      </c>
      <c r="F123" s="323"/>
      <c r="G123" s="323"/>
      <c r="H123" s="323"/>
      <c r="I123" s="323"/>
      <c r="J123" s="323"/>
      <c r="K123" s="323"/>
      <c r="L123" s="323"/>
      <c r="M123" s="462">
        <f>TABELAS_COEFICIENTES!G16</f>
        <v>6</v>
      </c>
      <c r="N123" s="323"/>
    </row>
    <row r="124" spans="1:15" s="152" customFormat="1" ht="15.75" customHeight="1" x14ac:dyDescent="0.25">
      <c r="A124" s="323"/>
      <c r="B124" s="301"/>
      <c r="C124" s="304"/>
      <c r="D124" s="450"/>
      <c r="E124" s="450" t="s">
        <v>517</v>
      </c>
      <c r="F124" s="323"/>
      <c r="G124" s="323"/>
      <c r="H124" s="323"/>
      <c r="I124" s="323"/>
      <c r="J124" s="323"/>
      <c r="K124" s="323"/>
      <c r="L124" s="323"/>
      <c r="M124" s="462">
        <f>TABELAS_COEFICIENTES!G17</f>
        <v>18</v>
      </c>
      <c r="N124" s="323"/>
    </row>
    <row r="125" spans="1:15" s="152" customFormat="1" ht="15.75" customHeight="1" x14ac:dyDescent="0.25">
      <c r="A125" s="323"/>
      <c r="B125" s="301"/>
      <c r="C125" s="304"/>
      <c r="D125" s="450"/>
      <c r="E125" s="450" t="s">
        <v>518</v>
      </c>
      <c r="F125" s="323"/>
      <c r="G125" s="323"/>
      <c r="H125" s="323"/>
      <c r="I125" s="323"/>
      <c r="J125" s="323"/>
      <c r="K125" s="323"/>
      <c r="L125" s="323"/>
      <c r="M125" s="462">
        <f>TABELAS_COEFICIENTES!G18</f>
        <v>12</v>
      </c>
      <c r="N125" s="323"/>
    </row>
    <row r="126" spans="1:15" s="152" customFormat="1" ht="15.75" customHeight="1" x14ac:dyDescent="0.25">
      <c r="A126" s="323"/>
      <c r="B126" s="301"/>
      <c r="C126" s="304"/>
      <c r="D126" s="450"/>
      <c r="E126" s="450" t="s">
        <v>520</v>
      </c>
      <c r="F126" s="323"/>
      <c r="G126" s="323"/>
      <c r="H126" s="323"/>
      <c r="I126" s="323"/>
      <c r="J126" s="323"/>
      <c r="K126" s="323"/>
      <c r="L126" s="323"/>
      <c r="M126" s="462">
        <f>TABELAS_COEFICIENTES!G20</f>
        <v>10</v>
      </c>
      <c r="N126" s="323"/>
    </row>
    <row r="127" spans="1:15" s="152" customFormat="1" ht="15.75" customHeight="1" x14ac:dyDescent="0.25">
      <c r="A127" s="323"/>
      <c r="B127" s="301"/>
      <c r="C127" s="304"/>
      <c r="D127" s="320" t="s">
        <v>537</v>
      </c>
      <c r="E127" s="450" t="s">
        <v>506</v>
      </c>
      <c r="F127" s="323"/>
      <c r="G127" s="323"/>
      <c r="H127" s="323"/>
      <c r="I127" s="323"/>
      <c r="J127" s="323"/>
      <c r="K127" s="323"/>
      <c r="L127" s="323"/>
      <c r="M127" s="462">
        <f>TABELAS_COEFICIENTES!H11</f>
        <v>0.6</v>
      </c>
      <c r="N127" s="323"/>
    </row>
    <row r="128" spans="1:15" s="152" customFormat="1" ht="15.75" customHeight="1" x14ac:dyDescent="0.25">
      <c r="A128" s="323"/>
      <c r="B128" s="301"/>
      <c r="C128" s="304"/>
      <c r="D128" s="315"/>
      <c r="E128" s="450" t="s">
        <v>514</v>
      </c>
      <c r="F128" s="323"/>
      <c r="G128" s="323"/>
      <c r="H128" s="323"/>
      <c r="I128" s="323"/>
      <c r="J128" s="323"/>
      <c r="K128" s="323"/>
      <c r="L128" s="323"/>
      <c r="M128" s="462">
        <f>TABELAS_COEFICIENTES!H14</f>
        <v>8</v>
      </c>
      <c r="N128" s="323"/>
    </row>
    <row r="129" spans="1:15" s="152" customFormat="1" ht="15.75" customHeight="1" x14ac:dyDescent="0.25">
      <c r="A129" s="323"/>
      <c r="B129" s="301"/>
      <c r="C129" s="304"/>
      <c r="D129" s="315"/>
      <c r="E129" s="450" t="s">
        <v>515</v>
      </c>
      <c r="F129" s="323"/>
      <c r="G129" s="323"/>
      <c r="H129" s="323"/>
      <c r="I129" s="323"/>
      <c r="J129" s="323"/>
      <c r="K129" s="323"/>
      <c r="L129" s="323"/>
      <c r="M129" s="462">
        <f>TABELAS_COEFICIENTES!H15</f>
        <v>10</v>
      </c>
      <c r="N129" s="323"/>
    </row>
    <row r="130" spans="1:15" s="152" customFormat="1" ht="15.75" customHeight="1" x14ac:dyDescent="0.25">
      <c r="A130" s="323"/>
      <c r="B130" s="301"/>
      <c r="C130" s="304"/>
      <c r="D130" s="315"/>
      <c r="E130" s="450" t="s">
        <v>516</v>
      </c>
      <c r="F130" s="323"/>
      <c r="G130" s="323"/>
      <c r="H130" s="323"/>
      <c r="I130" s="323"/>
      <c r="J130" s="323"/>
      <c r="K130" s="323"/>
      <c r="L130" s="323"/>
      <c r="M130" s="462">
        <f>TABELAS_COEFICIENTES!H16</f>
        <v>8</v>
      </c>
      <c r="N130" s="323"/>
    </row>
    <row r="131" spans="1:15" s="152" customFormat="1" ht="15.75" customHeight="1" x14ac:dyDescent="0.25">
      <c r="A131" s="323"/>
      <c r="B131" s="301"/>
      <c r="C131" s="304"/>
      <c r="D131" s="315"/>
      <c r="E131" s="450" t="s">
        <v>517</v>
      </c>
      <c r="F131" s="323"/>
      <c r="G131" s="323"/>
      <c r="H131" s="323"/>
      <c r="I131" s="323"/>
      <c r="J131" s="323"/>
      <c r="K131" s="323"/>
      <c r="L131" s="323"/>
      <c r="M131" s="462">
        <f>TABELAS_COEFICIENTES!H17</f>
        <v>20</v>
      </c>
      <c r="N131" s="323"/>
    </row>
    <row r="132" spans="1:15" s="152" customFormat="1" ht="15.75" customHeight="1" x14ac:dyDescent="0.25">
      <c r="A132" s="323"/>
      <c r="B132" s="301"/>
      <c r="C132" s="304"/>
      <c r="D132" s="315"/>
      <c r="E132" s="450" t="s">
        <v>518</v>
      </c>
      <c r="F132" s="323"/>
      <c r="G132" s="323"/>
      <c r="H132" s="323"/>
      <c r="I132" s="323"/>
      <c r="J132" s="323"/>
      <c r="K132" s="323"/>
      <c r="L132" s="323"/>
      <c r="M132" s="462">
        <f>TABELAS_COEFICIENTES!H18</f>
        <v>14</v>
      </c>
      <c r="N132" s="323"/>
    </row>
    <row r="133" spans="1:15" s="152" customFormat="1" ht="15.75" customHeight="1" x14ac:dyDescent="0.25">
      <c r="A133" s="323"/>
      <c r="B133" s="301"/>
      <c r="C133" s="304"/>
      <c r="D133" s="315"/>
      <c r="E133" s="450" t="s">
        <v>520</v>
      </c>
      <c r="F133" s="323"/>
      <c r="G133" s="323"/>
      <c r="H133" s="323"/>
      <c r="I133" s="323"/>
      <c r="J133" s="323"/>
      <c r="K133" s="323"/>
      <c r="L133" s="323"/>
      <c r="M133" s="462">
        <f>TABELAS_COEFICIENTES!H20</f>
        <v>12</v>
      </c>
      <c r="N133" s="323"/>
    </row>
    <row r="134" spans="1:15" s="152" customFormat="1" ht="15.75" customHeight="1" x14ac:dyDescent="0.25">
      <c r="A134" s="323"/>
      <c r="B134" s="331"/>
      <c r="C134" s="387"/>
      <c r="D134" s="361"/>
      <c r="E134" s="431"/>
      <c r="F134" s="431"/>
      <c r="G134" s="431"/>
      <c r="H134" s="431"/>
      <c r="I134" s="431"/>
      <c r="J134" s="431"/>
      <c r="K134" s="431"/>
      <c r="L134" s="431"/>
      <c r="M134" s="463"/>
      <c r="N134" s="323"/>
    </row>
    <row r="135" spans="1:15" s="152" customFormat="1" ht="15.75" customHeight="1" x14ac:dyDescent="0.25">
      <c r="A135" s="323"/>
      <c r="B135" s="267"/>
      <c r="C135" s="319"/>
      <c r="D135" s="319"/>
      <c r="E135" s="319"/>
      <c r="F135" s="319"/>
      <c r="G135" s="273"/>
      <c r="H135" s="273"/>
      <c r="I135" s="273"/>
      <c r="J135" s="273"/>
      <c r="K135" s="273"/>
      <c r="L135" s="273"/>
      <c r="M135" s="273"/>
      <c r="N135" s="273"/>
      <c r="O135" s="143"/>
    </row>
    <row r="136" spans="1:15" s="152" customFormat="1" ht="15.75" customHeight="1" x14ac:dyDescent="0.25">
      <c r="A136" s="323"/>
      <c r="B136" s="301" t="s">
        <v>276</v>
      </c>
      <c r="C136" s="314" t="s">
        <v>277</v>
      </c>
      <c r="D136" s="319"/>
      <c r="E136" s="319"/>
      <c r="F136" s="319"/>
      <c r="G136" s="273"/>
      <c r="H136" s="273"/>
      <c r="I136" s="273"/>
      <c r="J136" s="273"/>
      <c r="K136" s="273"/>
      <c r="L136" s="273"/>
      <c r="M136" s="273"/>
      <c r="N136" s="273"/>
      <c r="O136" s="143"/>
    </row>
    <row r="137" spans="1:15" ht="15.75" customHeight="1" x14ac:dyDescent="0.25">
      <c r="A137" s="273"/>
      <c r="B137" s="267"/>
      <c r="C137" s="306" t="s">
        <v>278</v>
      </c>
      <c r="D137" s="273"/>
      <c r="E137" s="274"/>
      <c r="F137" s="273"/>
      <c r="G137" s="273"/>
      <c r="H137" s="273"/>
      <c r="I137" s="273"/>
      <c r="J137" s="273"/>
      <c r="K137" s="273"/>
      <c r="L137" s="273"/>
      <c r="M137" s="273"/>
      <c r="N137" s="273"/>
    </row>
    <row r="138" spans="1:15" ht="15.75" customHeight="1" x14ac:dyDescent="0.25">
      <c r="A138" s="273"/>
      <c r="B138" s="267"/>
      <c r="C138" s="304" t="s">
        <v>279</v>
      </c>
      <c r="D138" s="273"/>
      <c r="E138" s="274"/>
      <c r="F138" s="273"/>
      <c r="G138" s="273"/>
      <c r="H138" s="273"/>
      <c r="I138" s="273"/>
      <c r="J138" s="273"/>
      <c r="K138" s="273"/>
      <c r="L138" s="273"/>
      <c r="M138" s="273"/>
      <c r="N138" s="273"/>
    </row>
    <row r="139" spans="1:15" ht="15.75" customHeight="1" x14ac:dyDescent="0.25">
      <c r="A139" s="273"/>
      <c r="B139" s="267"/>
      <c r="C139" s="304" t="s">
        <v>280</v>
      </c>
      <c r="D139" s="273"/>
      <c r="E139" s="274"/>
      <c r="F139" s="273"/>
      <c r="G139" s="273"/>
      <c r="H139" s="273"/>
      <c r="I139" s="273"/>
      <c r="J139" s="273"/>
      <c r="K139" s="273"/>
      <c r="L139" s="273"/>
      <c r="M139" s="273"/>
      <c r="N139" s="273"/>
    </row>
    <row r="140" spans="1:15" ht="15.75" customHeight="1" x14ac:dyDescent="0.25">
      <c r="A140" s="273"/>
      <c r="B140" s="267"/>
      <c r="C140" s="304" t="s">
        <v>281</v>
      </c>
      <c r="D140" s="273"/>
      <c r="E140" s="274"/>
      <c r="F140" s="273"/>
      <c r="G140" s="273"/>
      <c r="H140" s="273"/>
      <c r="I140" s="273"/>
      <c r="J140" s="273"/>
      <c r="K140" s="273"/>
      <c r="L140" s="273"/>
      <c r="M140" s="273"/>
      <c r="N140" s="273"/>
    </row>
    <row r="141" spans="1:15" ht="15.75" customHeight="1" x14ac:dyDescent="0.25">
      <c r="A141" s="273"/>
      <c r="B141" s="362"/>
      <c r="C141" s="275"/>
      <c r="D141" s="273"/>
      <c r="E141" s="274"/>
      <c r="F141" s="273"/>
      <c r="G141" s="273"/>
      <c r="H141" s="273"/>
      <c r="I141" s="273"/>
      <c r="J141" s="273"/>
      <c r="K141" s="273"/>
      <c r="L141" s="273"/>
      <c r="M141" s="273"/>
      <c r="N141" s="273"/>
    </row>
    <row r="143" spans="1:15" ht="15.75" hidden="1" customHeight="1" x14ac:dyDescent="0.25">
      <c r="B143" s="165"/>
      <c r="C143" s="166" t="s">
        <v>538</v>
      </c>
      <c r="D143" s="161"/>
      <c r="E143" s="17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</row>
    <row r="144" spans="1:15" ht="15.75" hidden="1" customHeight="1" x14ac:dyDescent="0.25">
      <c r="B144" s="165"/>
      <c r="C144" s="166" t="s">
        <v>539</v>
      </c>
      <c r="D144" s="161"/>
      <c r="E144" s="17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</row>
    <row r="145" spans="2:15" s="161" customFormat="1" ht="15.75" hidden="1" customHeight="1" x14ac:dyDescent="0.25">
      <c r="B145" s="165"/>
      <c r="C145" s="166" t="s">
        <v>540</v>
      </c>
      <c r="E145" s="171"/>
    </row>
    <row r="146" spans="2:15" s="161" customFormat="1" ht="15.95" customHeight="1" x14ac:dyDescent="0.25">
      <c r="B146" s="165"/>
      <c r="C146" s="173"/>
      <c r="D146" s="171"/>
    </row>
    <row r="147" spans="2:15" s="161" customFormat="1" ht="15.75" customHeight="1" x14ac:dyDescent="0.25">
      <c r="B147" s="165"/>
      <c r="D147" s="171"/>
    </row>
    <row r="148" spans="2:15" s="161" customFormat="1" ht="15.75" customHeight="1" x14ac:dyDescent="0.25">
      <c r="B148" s="165"/>
      <c r="D148" s="171"/>
    </row>
    <row r="149" spans="2:15" s="161" customFormat="1" ht="15.75" customHeight="1" x14ac:dyDescent="0.25">
      <c r="B149" s="160"/>
      <c r="C149" s="143"/>
      <c r="D149" s="156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</row>
    <row r="150" spans="2:15" s="161" customFormat="1" ht="15.75" customHeight="1" x14ac:dyDescent="0.25">
      <c r="B150" s="160"/>
      <c r="C150" s="155"/>
      <c r="D150" s="143"/>
      <c r="E150" s="156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</row>
  </sheetData>
  <sheetProtection algorithmName="SHA-512" hashValue="w975OBc4uEhHaBds6aahFqzrXZwufUhATJ0HC6FJzzp+utu/wFZUTwkK8smWbKbm1gseO9M00E2iCWETQgxvqQ==" saltValue="XEoZNc+GTwsREu/FILr3hw==" spinCount="100000" sheet="1" objects="1" scenarios="1" selectLockedCells="1"/>
  <mergeCells count="20">
    <mergeCell ref="C82:M82"/>
    <mergeCell ref="C93:M93"/>
    <mergeCell ref="C71:M71"/>
    <mergeCell ref="J2:M2"/>
    <mergeCell ref="J4:M4"/>
    <mergeCell ref="J6:M6"/>
    <mergeCell ref="C16:M16"/>
    <mergeCell ref="C27:M27"/>
    <mergeCell ref="C38:M38"/>
    <mergeCell ref="C49:M49"/>
    <mergeCell ref="C60:M60"/>
    <mergeCell ref="D15:H15"/>
    <mergeCell ref="D37:H37"/>
    <mergeCell ref="D59:H59"/>
    <mergeCell ref="D81:H81"/>
    <mergeCell ref="C106:D106"/>
    <mergeCell ref="F109:G109"/>
    <mergeCell ref="L109:M109"/>
    <mergeCell ref="L105:M105"/>
    <mergeCell ref="L111:M111"/>
  </mergeCells>
  <conditionalFormatting sqref="D15:H15">
    <cfRule type="containsBlanks" dxfId="13" priority="4">
      <formula>LEN(TRIM(D15))=0</formula>
    </cfRule>
  </conditionalFormatting>
  <conditionalFormatting sqref="D37:H37">
    <cfRule type="containsBlanks" dxfId="12" priority="3">
      <formula>LEN(TRIM(D37))=0</formula>
    </cfRule>
  </conditionalFormatting>
  <conditionalFormatting sqref="D59:H59">
    <cfRule type="containsBlanks" dxfId="11" priority="2">
      <formula>LEN(TRIM(D59))=0</formula>
    </cfRule>
  </conditionalFormatting>
  <conditionalFormatting sqref="D81:H81">
    <cfRule type="containsBlanks" dxfId="10" priority="1">
      <formula>LEN(TRIM(D81))=0</formula>
    </cfRule>
  </conditionalFormatting>
  <conditionalFormatting sqref="G18 H18:H19 L18:L26 F19 I20:I25 J26:K26">
    <cfRule type="containsBlanks" dxfId="9" priority="12">
      <formula>LEN(TRIM(F18))=0</formula>
    </cfRule>
  </conditionalFormatting>
  <conditionalFormatting sqref="G29 L29:L35 I30:I34 J35:K35">
    <cfRule type="containsBlanks" dxfId="8" priority="11">
      <formula>LEN(TRIM(G29))=0</formula>
    </cfRule>
  </conditionalFormatting>
  <conditionalFormatting sqref="G40 H40:H41 L40:L48 F41 I42:I47 J48:K48">
    <cfRule type="containsBlanks" dxfId="7" priority="10">
      <formula>LEN(TRIM(F40))=0</formula>
    </cfRule>
  </conditionalFormatting>
  <conditionalFormatting sqref="G51 L51:L57 I52:I56 J57:K57">
    <cfRule type="containsBlanks" dxfId="6" priority="7">
      <formula>LEN(TRIM(G51))=0</formula>
    </cfRule>
  </conditionalFormatting>
  <conditionalFormatting sqref="G62 H62:H63 L62:L70 F63 I64:I69 J70:K70">
    <cfRule type="containsBlanks" dxfId="5" priority="9">
      <formula>LEN(TRIM(F62))=0</formula>
    </cfRule>
  </conditionalFormatting>
  <conditionalFormatting sqref="G73 L73:L79 I74:I78 J79:K79">
    <cfRule type="containsBlanks" dxfId="4" priority="6">
      <formula>LEN(TRIM(G73))=0</formula>
    </cfRule>
  </conditionalFormatting>
  <conditionalFormatting sqref="G84 H84:H85 L84:L92 F85 I86:I91 J92:K92">
    <cfRule type="containsBlanks" dxfId="3" priority="8">
      <formula>LEN(TRIM(F84))=0</formula>
    </cfRule>
  </conditionalFormatting>
  <conditionalFormatting sqref="G95 L95:L101 I96:I100 J101:K101">
    <cfRule type="containsBlanks" dxfId="2" priority="5">
      <formula>LEN(TRIM(G95))=0</formula>
    </cfRule>
  </conditionalFormatting>
  <conditionalFormatting sqref="J2 J4">
    <cfRule type="containsBlanks" dxfId="1" priority="14">
      <formula>LEN(TRIM(J2))=0</formula>
    </cfRule>
  </conditionalFormatting>
  <conditionalFormatting sqref="M11">
    <cfRule type="containsBlanks" dxfId="0" priority="13">
      <formula>LEN(TRIM(M11))=0</formula>
    </cfRule>
  </conditionalFormatting>
  <dataValidations count="17">
    <dataValidation type="custom" allowBlank="1" showInputMessage="1" showErrorMessage="1" sqref="E103" xr:uid="{A48AA4FD-019B-4BA3-AF10-B2FF7E867D7F}">
      <formula1>OR(#REF!&lt;&gt;"Sem demolição",E103=" ")</formula1>
    </dataValidation>
    <dataValidation type="list" allowBlank="1" showInputMessage="1" showErrorMessage="1" sqref="M11" xr:uid="{EBF5672A-66DD-4300-8FAC-75DEE5873B7A}">
      <formula1>$C$143:$C$145</formula1>
    </dataValidation>
    <dataValidation type="whole" operator="greaterThan" allowBlank="1" showInputMessage="1" showErrorMessage="1" error="Deve inserir um número inteiro" sqref="E102:F102" xr:uid="{0789D14E-558A-44B1-89DA-38DEC1A2EB31}">
      <formula1>0</formula1>
    </dataValidation>
    <dataValidation type="whole" operator="greaterThanOrEqual" allowBlank="1" showInputMessage="1" showErrorMessage="1" errorTitle="Prazo inválido" error="Deve inserir um número inteiro correspondente aos meses de ocupaçãodo domínio público e/ou privado municipal com o equipamento ou instalação. Mínimo 1 mês (nos termos do n.º 1, do artigo 24.º do RMTRAUOC)." prompt="Indique o prazo (em meses) para a ocupação do domínio público e/ou privado municipal com o equipamento ou instalação (não pode ultrapassar o prazo da obra)" sqref="L80 L58 L36" xr:uid="{4581A271-B11E-40B4-AAE4-F6005FA1F586}">
      <formula1>1</formula1>
    </dataValidation>
    <dataValidation type="whole" operator="greaterThanOrEqual" allowBlank="1" showInputMessage="1" showErrorMessage="1" errorTitle="Unidades inválidas" error="Deve inserir um número inteiro correspondente ao número de unidade do equipamento ou instalação" prompt="Indique o número de unidades do equipamento ou instalação" sqref="I58 I80 I36" xr:uid="{1E930AD3-D2A3-42F9-9F2A-C9E888ED769D}">
      <formula1>1</formula1>
    </dataValidation>
    <dataValidation allowBlank="1" showInputMessage="1" showErrorMessage="1" prompt="Indique a área (em m2) de domínio público e/ou privado municipal ocupada com stands de vendas" sqref="G36 G58 G80" xr:uid="{EF3A7518-608B-4343-86DE-7C524C634AA1}"/>
    <dataValidation type="custom" allowBlank="1" showInputMessage="1" showErrorMessage="1" sqref="E113" xr:uid="{2A9D464B-36D4-4D3A-8D8E-CAC9321965D4}">
      <formula1>OR(E109&lt;&gt;"Sem demolição",E113=" ")</formula1>
    </dataValidation>
    <dataValidation type="custom" allowBlank="1" showInputMessage="1" showErrorMessage="1" sqref="E114" xr:uid="{ACD46BCB-782A-4DE0-8B13-E3DD1FEF1DB9}">
      <formula1>OR(E112&lt;&gt;"Sem demolição",E114=" ")</formula1>
    </dataValidation>
    <dataValidation allowBlank="1" showInputMessage="1" showErrorMessage="1" promptTitle="Nome do Arruamento" prompt="Indique o nome do arruamento" sqref="D59 D15 D37 D81" xr:uid="{263778CE-DBC1-4865-93B3-34334C215BD8}"/>
    <dataValidation type="custom" allowBlank="1" showInputMessage="1" showErrorMessage="1" sqref="M128:M134" xr:uid="{87CE4BD8-26B4-4745-A8EF-066A2421FB74}">
      <formula1>OR(E115&lt;&gt;"Sem demolição",M128=" ")</formula1>
    </dataValidation>
    <dataValidation type="custom" allowBlank="1" showInputMessage="1" showErrorMessage="1" sqref="M118:M127 M115" xr:uid="{457D0513-F805-4CB3-BF30-66EB6CEF4889}">
      <formula1>OR(E112&lt;&gt;"Sem demolição",M115=" ")</formula1>
    </dataValidation>
    <dataValidation type="custom" allowBlank="1" showInputMessage="1" showErrorMessage="1" sqref="M116:M117" xr:uid="{82A480A3-B66F-4472-8BD4-323804C0DE11}">
      <formula1>OR(E114&lt;&gt;"Sem demolição",M116=" ")</formula1>
    </dataValidation>
    <dataValidation type="custom" allowBlank="1" showInputMessage="1" showErrorMessage="1" errorTitle="Valor inválido" error="Apenas são admitidos valores numéricos com um máximo de duas casas decimais." prompt="Indique a dimensão da frente do andaime em metros lineares" sqref="F19 G18 G29 F41 G40 F63 G62 F85 G84 G51 G73 G95" xr:uid="{C9172DDB-B87D-495B-923A-FF23970063DE}">
      <formula1>ROUND(F18,2)=F18</formula1>
    </dataValidation>
    <dataValidation type="whole" operator="greaterThanOrEqual" allowBlank="1" showInputMessage="1" showErrorMessage="1" errorTitle="Valor inválido" error="Apenas são admitidos valores numéricos inteiros que correspondam ao número de pisos do edifício cobertos por andaime" prompt="Indique o número de pisos do edifício cobertos por andaime" sqref="H19 H41 H63 H85" xr:uid="{41E27FB6-9BAF-4592-B432-B98573C5B548}">
      <formula1>1</formula1>
    </dataValidation>
    <dataValidation type="whole" allowBlank="1" showInputMessage="1" showErrorMessage="1" errorTitle="Valor inválido" error="Apenas são admitidos valores numéricos inteiros que correspondam ao número de pisos do edifício cobertos por resguardo ou tapume._x000a__x000a_Nota: Não deve ultrapassar os 2 pisos do edifício." prompt="Indique o número de pisos do edifício cobertos por tapume (apenas quando exista simultaneamente ocupação com andaimes)" sqref="H18 H40 H62 H84" xr:uid="{5CA780EE-A583-4458-B512-EC8461F7C86C}">
      <formula1>1</formula1>
      <formula2>2</formula2>
    </dataValidation>
    <dataValidation type="whole" operator="greaterThanOrEqual" allowBlank="1" showInputMessage="1" showErrorMessage="1" errorTitle="Valor inválido" error="Apenas são admitidos valores numéricos inteiros que correspondam ao número de unidades do equipamento ou instalação." prompt="Indique o número de unidades do equipamento ou instalação" sqref="J26:K26 I20:I25 J35:K35 I30:I34 J48:K48 I42:I47 J70:K70 I64:I69 J92:K92 I86:I91 J57:K57 I52:I56 J79:K79 I74:I78 J101:K101 I96:I100" xr:uid="{0FA168A3-4281-4716-A096-4EDE9C835F25}">
      <formula1>1</formula1>
    </dataValidation>
    <dataValidation type="whole" operator="greaterThanOrEqual" allowBlank="1" showInputMessage="1" showErrorMessage="1" errorTitle="Valor inválido" error="Apenas são admitidos valores numéricos inteiros que correspondam aos meses de ocupaçãodo domínio público e/ou privado municipal com o equipamento ou instalação. Mínimo 1 mês (nos termos do n.º 1, do artigo 24.º do RMTRAUOC)." prompt="Indique o prazo (em meses) para a ocupação do domínio público e/ou privado municipal com o equipamento ou instalação (não pode ultrapassar o prazo da obra)" sqref="L18:L26 L29:L35 L40:L48 L62:L70 L84:L92 L51:L57 L73:L79 L95:L101" xr:uid="{37960F70-709C-44C3-BCAE-6530A1355339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4294967293" verticalDpi="4294967293" r:id="rId1"/>
  <headerFooter>
    <oddFooter>&amp;L&amp;F&amp;RPágina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8937-BB9C-4F60-BEA4-08ABC099395B}">
  <sheetPr codeName="Folha3"/>
  <dimension ref="A1:B17"/>
  <sheetViews>
    <sheetView zoomScale="80" zoomScaleNormal="80" zoomScalePageLayoutView="80" workbookViewId="0">
      <selection activeCell="D2" sqref="D2:E2"/>
    </sheetView>
  </sheetViews>
  <sheetFormatPr defaultRowHeight="15" x14ac:dyDescent="0.25"/>
  <cols>
    <col min="1" max="1" width="103.42578125" style="2" customWidth="1"/>
    <col min="2" max="2" width="32.42578125" style="1" customWidth="1"/>
  </cols>
  <sheetData>
    <row r="1" spans="1:2" s="19" customFormat="1" ht="28.35" customHeight="1" thickBot="1" x14ac:dyDescent="0.3">
      <c r="A1" s="555" t="s">
        <v>57</v>
      </c>
      <c r="B1" s="556"/>
    </row>
    <row r="2" spans="1:2" s="19" customFormat="1" ht="15.75" thickBot="1" x14ac:dyDescent="0.3">
      <c r="A2" s="20"/>
      <c r="B2" s="20"/>
    </row>
    <row r="3" spans="1:2" s="19" customFormat="1" ht="28.35" customHeight="1" x14ac:dyDescent="0.25">
      <c r="A3" s="561" t="s">
        <v>58</v>
      </c>
      <c r="B3" s="562"/>
    </row>
    <row r="4" spans="1:2" s="19" customFormat="1" ht="28.35" customHeight="1" thickBot="1" x14ac:dyDescent="0.3">
      <c r="A4" s="559" t="s">
        <v>59</v>
      </c>
      <c r="B4" s="560"/>
    </row>
    <row r="5" spans="1:2" s="19" customFormat="1" ht="28.35" customHeight="1" thickBot="1" x14ac:dyDescent="0.3">
      <c r="A5" s="89"/>
      <c r="B5" s="158" t="str">
        <f>EDIFICAÇÃO_DEMOLIÇÃO!E122</f>
        <v/>
      </c>
    </row>
    <row r="6" spans="1:2" s="19" customFormat="1" ht="28.35" customHeight="1" thickBot="1" x14ac:dyDescent="0.3">
      <c r="A6" s="2"/>
      <c r="B6" s="2"/>
    </row>
    <row r="7" spans="1:2" s="19" customFormat="1" ht="28.35" customHeight="1" x14ac:dyDescent="0.25">
      <c r="A7" s="561" t="s">
        <v>60</v>
      </c>
      <c r="B7" s="562"/>
    </row>
    <row r="8" spans="1:2" s="19" customFormat="1" ht="28.35" customHeight="1" thickBot="1" x14ac:dyDescent="0.3">
      <c r="A8" s="563" t="s">
        <v>61</v>
      </c>
      <c r="B8" s="564"/>
    </row>
    <row r="9" spans="1:2" s="19" customFormat="1" ht="28.35" customHeight="1" thickBot="1" x14ac:dyDescent="0.3">
      <c r="A9" s="17"/>
      <c r="B9" s="18"/>
    </row>
    <row r="10" spans="1:2" s="19" customFormat="1" ht="28.35" customHeight="1" thickBot="1" x14ac:dyDescent="0.3">
      <c r="A10" s="21" t="s">
        <v>62</v>
      </c>
      <c r="B10" s="141" t="str">
        <f>EDIFICAÇÃO_DEMOLIÇÃO!E121</f>
        <v/>
      </c>
    </row>
    <row r="11" spans="1:2" s="19" customFormat="1" ht="28.35" customHeight="1" thickBot="1" x14ac:dyDescent="0.3">
      <c r="A11" s="2"/>
      <c r="B11" s="2"/>
    </row>
    <row r="12" spans="1:2" s="19" customFormat="1" ht="28.35" customHeight="1" x14ac:dyDescent="0.25">
      <c r="A12" s="557" t="s">
        <v>63</v>
      </c>
      <c r="B12" s="558"/>
    </row>
    <row r="13" spans="1:2" s="19" customFormat="1" ht="28.35" customHeight="1" thickBot="1" x14ac:dyDescent="0.3">
      <c r="A13" s="559" t="s">
        <v>64</v>
      </c>
      <c r="B13" s="560"/>
    </row>
    <row r="14" spans="1:2" s="19" customFormat="1" ht="28.35" customHeight="1" thickBot="1" x14ac:dyDescent="0.3">
      <c r="A14" s="90"/>
      <c r="B14" s="91">
        <f>TABELAS_COEFICIENTES!B5</f>
        <v>20.23</v>
      </c>
    </row>
    <row r="15" spans="1:2" s="19" customFormat="1" ht="28.35" customHeight="1" thickBot="1" x14ac:dyDescent="0.3">
      <c r="A15" s="20"/>
      <c r="B15" s="20"/>
    </row>
    <row r="16" spans="1:2" s="19" customFormat="1" ht="42.6" customHeight="1" thickBot="1" x14ac:dyDescent="0.3">
      <c r="A16" s="83" t="s">
        <v>65</v>
      </c>
      <c r="B16" s="92" t="e">
        <f>MAX(0,(B5*B10)*B14)</f>
        <v>#VALUE!</v>
      </c>
    </row>
    <row r="17" spans="1:2" s="19" customFormat="1" x14ac:dyDescent="0.25">
      <c r="A17" s="2"/>
      <c r="B17" s="2"/>
    </row>
  </sheetData>
  <sheetProtection algorithmName="SHA-512" hashValue="dC6SjpFfQQrlTnChaSJ/1JWMdzhgg20hXlUfuTB7BlKlu3OELqKzeZhUIXHfiuG+7FNq76UA8io6PWnGeFBQwg==" saltValue="dV0K+deyDtQW8SH/OafdJA==" spinCount="100000" sheet="1" objects="1" scenarios="1" selectLockedCells="1"/>
  <mergeCells count="7">
    <mergeCell ref="A1:B1"/>
    <mergeCell ref="A12:B12"/>
    <mergeCell ref="A13:B13"/>
    <mergeCell ref="A4:B4"/>
    <mergeCell ref="A7:B7"/>
    <mergeCell ref="A8:B8"/>
    <mergeCell ref="A3:B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40" fitToHeight="0" orientation="portrait" r:id="rId1"/>
  <headerFooter>
    <oddHeader xml:space="preserve">&amp;L&amp;G&amp;R&amp;"-,Negrito"&amp;28&amp;K04+000SIMULADOR DE TAXAS&amp;20
TAXA PARA REALIZAÇÃO, MANUTENÇÃO E REFORÇO DE INFRAESTRUTURAS URBANÍSTICAS&amp;14
&amp;"-,Normal"&amp;11&amp;K000000 &amp;"-,Negrito"&amp;14&amp;K04+000
</oddHeader>
    <oddFooter>&amp;L&amp;"-,Negrito"&amp;9
&amp;"Arial,Negrito"&amp;16&amp;K0070C0EPIOU&amp;9&amp;K01+000 &amp;"Arial,Normal"&amp;8Equipa de Projeto para Inovação Organizacional no Urbanismo&amp;"-,Normal"&amp;10 &amp;"-,Negrito" &amp;RSimulador de Taxas_TRIU - &amp;"-,Negrito"Nov/2025&amp;"-,Normal"
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D532-B8C8-4281-9B3B-8887FB3D01C6}">
  <sheetPr codeName="Folha4"/>
  <dimension ref="A1:B17"/>
  <sheetViews>
    <sheetView zoomScale="80" zoomScaleNormal="80" zoomScalePageLayoutView="80" workbookViewId="0">
      <selection activeCell="D2" sqref="D2:E2"/>
    </sheetView>
  </sheetViews>
  <sheetFormatPr defaultRowHeight="15" x14ac:dyDescent="0.25"/>
  <cols>
    <col min="1" max="1" width="103.42578125" style="2" customWidth="1"/>
    <col min="2" max="2" width="32.42578125" style="1" customWidth="1"/>
  </cols>
  <sheetData>
    <row r="1" spans="1:2" s="19" customFormat="1" ht="28.35" customHeight="1" thickBot="1" x14ac:dyDescent="0.3">
      <c r="A1" s="555" t="s">
        <v>66</v>
      </c>
      <c r="B1" s="556"/>
    </row>
    <row r="2" spans="1:2" s="19" customFormat="1" ht="15.75" thickBot="1" x14ac:dyDescent="0.3">
      <c r="A2" s="20"/>
      <c r="B2" s="20"/>
    </row>
    <row r="3" spans="1:2" s="19" customFormat="1" ht="28.35" customHeight="1" x14ac:dyDescent="0.25">
      <c r="A3" s="561" t="s">
        <v>58</v>
      </c>
      <c r="B3" s="562"/>
    </row>
    <row r="4" spans="1:2" s="19" customFormat="1" ht="28.35" customHeight="1" thickBot="1" x14ac:dyDescent="0.3">
      <c r="A4" s="559" t="s">
        <v>59</v>
      </c>
      <c r="B4" s="560"/>
    </row>
    <row r="5" spans="1:2" s="19" customFormat="1" ht="28.35" customHeight="1" thickBot="1" x14ac:dyDescent="0.3">
      <c r="A5" s="89"/>
      <c r="B5" s="158" t="str">
        <f>LOTEAMENTO_URBANIZAÇÃO!E87</f>
        <v/>
      </c>
    </row>
    <row r="6" spans="1:2" s="19" customFormat="1" ht="28.35" customHeight="1" thickBot="1" x14ac:dyDescent="0.3">
      <c r="A6" s="2"/>
      <c r="B6" s="2"/>
    </row>
    <row r="7" spans="1:2" s="19" customFormat="1" ht="28.35" customHeight="1" x14ac:dyDescent="0.25">
      <c r="A7" s="561" t="s">
        <v>60</v>
      </c>
      <c r="B7" s="562"/>
    </row>
    <row r="8" spans="1:2" s="19" customFormat="1" ht="28.35" customHeight="1" thickBot="1" x14ac:dyDescent="0.3">
      <c r="A8" s="563" t="s">
        <v>61</v>
      </c>
      <c r="B8" s="564"/>
    </row>
    <row r="9" spans="1:2" s="19" customFormat="1" ht="28.35" customHeight="1" thickBot="1" x14ac:dyDescent="0.3">
      <c r="A9" s="17"/>
      <c r="B9" s="18"/>
    </row>
    <row r="10" spans="1:2" s="19" customFormat="1" ht="28.35" customHeight="1" thickBot="1" x14ac:dyDescent="0.3">
      <c r="A10" s="21" t="s">
        <v>62</v>
      </c>
      <c r="B10" s="141" t="str">
        <f>LOTEAMENTO_URBANIZAÇÃO!E86</f>
        <v/>
      </c>
    </row>
    <row r="11" spans="1:2" s="19" customFormat="1" ht="28.35" customHeight="1" thickBot="1" x14ac:dyDescent="0.3">
      <c r="A11" s="2"/>
      <c r="B11" s="2"/>
    </row>
    <row r="12" spans="1:2" s="19" customFormat="1" ht="28.35" customHeight="1" x14ac:dyDescent="0.25">
      <c r="A12" s="557" t="s">
        <v>63</v>
      </c>
      <c r="B12" s="558"/>
    </row>
    <row r="13" spans="1:2" s="19" customFormat="1" ht="28.35" customHeight="1" thickBot="1" x14ac:dyDescent="0.3">
      <c r="A13" s="559" t="s">
        <v>64</v>
      </c>
      <c r="B13" s="560"/>
    </row>
    <row r="14" spans="1:2" s="19" customFormat="1" ht="28.35" customHeight="1" thickBot="1" x14ac:dyDescent="0.3">
      <c r="A14" s="90"/>
      <c r="B14" s="91">
        <f>TABELAS_COEFICIENTES!B5</f>
        <v>20.23</v>
      </c>
    </row>
    <row r="15" spans="1:2" s="19" customFormat="1" ht="28.35" customHeight="1" thickBot="1" x14ac:dyDescent="0.3">
      <c r="A15" s="20"/>
      <c r="B15" s="20"/>
    </row>
    <row r="16" spans="1:2" s="19" customFormat="1" ht="42.6" customHeight="1" thickBot="1" x14ac:dyDescent="0.3">
      <c r="A16" s="83" t="s">
        <v>65</v>
      </c>
      <c r="B16" s="92" t="e">
        <f>MAX(0,(B5*B10)*B14)</f>
        <v>#VALUE!</v>
      </c>
    </row>
    <row r="17" spans="1:2" s="19" customFormat="1" x14ac:dyDescent="0.25">
      <c r="A17" s="2"/>
      <c r="B17" s="2"/>
    </row>
  </sheetData>
  <sheetProtection algorithmName="SHA-512" hashValue="P5tVdCkx06RO2Ni0V5qIjtT46Ex2KUKNWLWSq7dbk2I2ESPPzUOtOqlzYdr9S3Xj9vH/nP+ra5HA0a4dTH62cw==" saltValue="OQboG3cMDwCLEzHAAmsunA==" spinCount="100000" sheet="1" objects="1" scenarios="1" selectLockedCells="1"/>
  <mergeCells count="7">
    <mergeCell ref="A12:B12"/>
    <mergeCell ref="A13:B13"/>
    <mergeCell ref="A1:B1"/>
    <mergeCell ref="A3:B3"/>
    <mergeCell ref="A4:B4"/>
    <mergeCell ref="A7:B7"/>
    <mergeCell ref="A8:B8"/>
  </mergeCells>
  <printOptions horizontalCentered="1"/>
  <pageMargins left="0.70866141732283472" right="0.70866141732283472" top="1.1417322834645669" bottom="0.74803149606299213" header="0.31496062992125984" footer="0.31496062992125984"/>
  <pageSetup paperSize="9" scale="40" fitToHeight="0" orientation="portrait" r:id="rId1"/>
  <headerFooter>
    <oddHeader xml:space="preserve">&amp;L&amp;G&amp;R&amp;"-,Negrito"&amp;28&amp;K04+000SIMULADOR DE TAXAS&amp;20
TAXA PARA REALIZAÇÃO, MANUTENÇÃO E REFORÇO DE INFRAESTRUTURAS URBANÍSTICAS&amp;14
&amp;"-,Normal"&amp;11&amp;K000000 &amp;"-,Negrito"&amp;14&amp;K04+000
</oddHeader>
    <oddFooter>&amp;L&amp;"-,Negrito"&amp;9
&amp;"Arial,Negrito"&amp;16&amp;K0070C0EPIOU&amp;9&amp;K01+000 &amp;"Arial,Normal"&amp;8Equipa de Projeto para Inovação Organizacional no Urbanismo&amp;"-,Normal"&amp;10 &amp;"-,Negrito" &amp;RSimulador de Taxas_TRIU - &amp;"-,Negrito"Nov/2025&amp;"-,Normal"
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EE20-EADA-49B3-8FCE-3B79BDA03171}">
  <sheetPr codeName="Folha5"/>
  <dimension ref="A1:B17"/>
  <sheetViews>
    <sheetView zoomScale="80" zoomScaleNormal="80" zoomScalePageLayoutView="80" workbookViewId="0">
      <selection activeCell="D2" sqref="D2:E2"/>
    </sheetView>
  </sheetViews>
  <sheetFormatPr defaultRowHeight="15" x14ac:dyDescent="0.25"/>
  <cols>
    <col min="1" max="1" width="103.42578125" style="2" customWidth="1"/>
    <col min="2" max="2" width="32.42578125" style="1" customWidth="1"/>
  </cols>
  <sheetData>
    <row r="1" spans="1:2" s="19" customFormat="1" ht="28.35" customHeight="1" thickBot="1" x14ac:dyDescent="0.3">
      <c r="A1" s="555" t="s">
        <v>67</v>
      </c>
      <c r="B1" s="556"/>
    </row>
    <row r="2" spans="1:2" s="19" customFormat="1" ht="15.75" thickBot="1" x14ac:dyDescent="0.3">
      <c r="A2" s="20"/>
      <c r="B2" s="20"/>
    </row>
    <row r="3" spans="1:2" s="19" customFormat="1" ht="28.35" customHeight="1" x14ac:dyDescent="0.25">
      <c r="A3" s="561" t="s">
        <v>58</v>
      </c>
      <c r="B3" s="562"/>
    </row>
    <row r="4" spans="1:2" s="19" customFormat="1" ht="28.35" customHeight="1" thickBot="1" x14ac:dyDescent="0.3">
      <c r="A4" s="559" t="s">
        <v>59</v>
      </c>
      <c r="B4" s="560"/>
    </row>
    <row r="5" spans="1:2" s="19" customFormat="1" ht="28.35" customHeight="1" thickBot="1" x14ac:dyDescent="0.3">
      <c r="A5" s="89"/>
      <c r="B5" s="158" t="str">
        <f>UTILIZAÇÃO!G76</f>
        <v/>
      </c>
    </row>
    <row r="6" spans="1:2" s="19" customFormat="1" ht="28.35" customHeight="1" thickBot="1" x14ac:dyDescent="0.3">
      <c r="A6" s="2"/>
      <c r="B6" s="2"/>
    </row>
    <row r="7" spans="1:2" s="19" customFormat="1" ht="28.35" customHeight="1" x14ac:dyDescent="0.25">
      <c r="A7" s="561" t="s">
        <v>60</v>
      </c>
      <c r="B7" s="562"/>
    </row>
    <row r="8" spans="1:2" s="19" customFormat="1" ht="28.35" customHeight="1" thickBot="1" x14ac:dyDescent="0.3">
      <c r="A8" s="563" t="s">
        <v>61</v>
      </c>
      <c r="B8" s="564"/>
    </row>
    <row r="9" spans="1:2" s="19" customFormat="1" ht="28.35" customHeight="1" thickBot="1" x14ac:dyDescent="0.3">
      <c r="A9" s="17"/>
      <c r="B9" s="18"/>
    </row>
    <row r="10" spans="1:2" s="19" customFormat="1" ht="28.35" customHeight="1" thickBot="1" x14ac:dyDescent="0.3">
      <c r="A10" s="21" t="s">
        <v>62</v>
      </c>
      <c r="B10" s="141" t="str">
        <f>UTILIZAÇÃO!G75</f>
        <v/>
      </c>
    </row>
    <row r="11" spans="1:2" s="19" customFormat="1" ht="28.35" customHeight="1" thickBot="1" x14ac:dyDescent="0.3">
      <c r="A11" s="2"/>
      <c r="B11" s="2"/>
    </row>
    <row r="12" spans="1:2" s="19" customFormat="1" ht="28.35" customHeight="1" x14ac:dyDescent="0.25">
      <c r="A12" s="557" t="s">
        <v>63</v>
      </c>
      <c r="B12" s="558"/>
    </row>
    <row r="13" spans="1:2" s="19" customFormat="1" ht="28.35" customHeight="1" thickBot="1" x14ac:dyDescent="0.3">
      <c r="A13" s="559" t="s">
        <v>64</v>
      </c>
      <c r="B13" s="560"/>
    </row>
    <row r="14" spans="1:2" s="19" customFormat="1" ht="28.35" customHeight="1" thickBot="1" x14ac:dyDescent="0.3">
      <c r="A14" s="90"/>
      <c r="B14" s="91">
        <f>TABELAS_COEFICIENTES!B5</f>
        <v>20.23</v>
      </c>
    </row>
    <row r="15" spans="1:2" s="19" customFormat="1" ht="28.35" customHeight="1" thickBot="1" x14ac:dyDescent="0.3">
      <c r="A15" s="20"/>
      <c r="B15" s="20"/>
    </row>
    <row r="16" spans="1:2" s="19" customFormat="1" ht="42.6" customHeight="1" thickBot="1" x14ac:dyDescent="0.3">
      <c r="A16" s="83" t="s">
        <v>65</v>
      </c>
      <c r="B16" s="92" t="e">
        <f>MAX(0,(B5*B10)*B14)</f>
        <v>#VALUE!</v>
      </c>
    </row>
    <row r="17" spans="1:2" s="19" customFormat="1" x14ac:dyDescent="0.25">
      <c r="A17" s="2"/>
      <c r="B17" s="2"/>
    </row>
  </sheetData>
  <sheetProtection algorithmName="SHA-512" hashValue="qOgDKp5PpMb2HzCZmXvHlJwM/miK6iz6UbK30n1JJXNJABRfExKtlGVhqdZbGVf1M6tTp/x/TL8NsxXUgi9O7w==" saltValue="ozUF0aHKxL75ZohMeByWng==" spinCount="100000" sheet="1" objects="1" scenarios="1" selectLockedCells="1"/>
  <mergeCells count="7">
    <mergeCell ref="A13:B13"/>
    <mergeCell ref="A1:B1"/>
    <mergeCell ref="A3:B3"/>
    <mergeCell ref="A4:B4"/>
    <mergeCell ref="A7:B7"/>
    <mergeCell ref="A8:B8"/>
    <mergeCell ref="A12:B1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40" fitToHeight="0" orientation="portrait" r:id="rId1"/>
  <headerFooter>
    <oddHeader xml:space="preserve">&amp;L&amp;G&amp;R&amp;"-,Negrito"&amp;28&amp;K04+000SIMULADOR DE TAXAS&amp;20
TAXA PARA REALIZAÇÃO, MANUTENÇÃO E REFORÇO DE INFRAESTRUTURAS URBANÍSTICAS&amp;14
&amp;"-,Normal"&amp;11&amp;K000000 &amp;"-,Negrito"&amp;14&amp;K04+000
</oddHeader>
    <oddFooter>&amp;L&amp;"-,Negrito"&amp;9
&amp;"Arial,Negrito"&amp;16&amp;K0070C0EPIOU&amp;9&amp;K01+000 &amp;"Arial,Normal"&amp;8Equipa de Projeto para Inovação Organizacional no Urbanismo&amp;"-,Normal"&amp;10 &amp;"-,Negrito" &amp;RSimulador de Taxas_TRIU - &amp;"-,Negrito"Nov/2025&amp;"-,Normal"
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57E1-06D0-4825-ACE6-6E9E2A0BF479}">
  <sheetPr codeName="Folha2"/>
  <dimension ref="A1:J92"/>
  <sheetViews>
    <sheetView topLeftCell="A71" zoomScale="80" zoomScaleNormal="80" zoomScalePageLayoutView="80" workbookViewId="0">
      <selection activeCell="D84" sqref="D84"/>
    </sheetView>
  </sheetViews>
  <sheetFormatPr defaultRowHeight="15" x14ac:dyDescent="0.25"/>
  <cols>
    <col min="1" max="1" width="25.5703125" style="23" customWidth="1"/>
    <col min="2" max="2" width="52.140625" style="22" customWidth="1"/>
    <col min="3" max="3" width="35.5703125" style="23" customWidth="1"/>
    <col min="4" max="5" width="25.5703125" style="23" customWidth="1"/>
    <col min="6" max="6" width="25.5703125" style="24" customWidth="1"/>
    <col min="7" max="8" width="10.5703125" style="23" customWidth="1"/>
    <col min="9" max="10" width="10.5703125" style="22" customWidth="1"/>
  </cols>
  <sheetData>
    <row r="1" spans="1:10" ht="15.75" thickBot="1" x14ac:dyDescent="0.3">
      <c r="A1"/>
      <c r="B1" s="2"/>
      <c r="C1" s="2"/>
      <c r="D1" s="1"/>
      <c r="E1" s="1"/>
      <c r="F1" s="1"/>
      <c r="G1" s="1"/>
      <c r="H1"/>
      <c r="I1"/>
      <c r="J1"/>
    </row>
    <row r="2" spans="1:10" ht="30" customHeight="1" thickBot="1" x14ac:dyDescent="0.3">
      <c r="A2" s="568" t="s">
        <v>68</v>
      </c>
      <c r="B2" s="569"/>
      <c r="C2" s="1"/>
      <c r="D2" s="1"/>
      <c r="E2" s="1"/>
      <c r="F2" s="1"/>
      <c r="G2"/>
      <c r="H2"/>
      <c r="I2"/>
      <c r="J2"/>
    </row>
    <row r="3" spans="1:10" ht="30" customHeight="1" x14ac:dyDescent="0.25">
      <c r="A3" s="245" t="s">
        <v>1</v>
      </c>
      <c r="B3" s="66">
        <f>TABELAS_COEFICIENTES!B2</f>
        <v>94.08</v>
      </c>
      <c r="C3" s="1"/>
      <c r="D3" s="1"/>
      <c r="E3" s="1"/>
      <c r="F3" s="1"/>
      <c r="G3"/>
      <c r="H3"/>
      <c r="I3"/>
      <c r="J3"/>
    </row>
    <row r="4" spans="1:10" ht="30" customHeight="1" x14ac:dyDescent="0.25">
      <c r="A4" s="246" t="s">
        <v>69</v>
      </c>
      <c r="B4" s="67">
        <f>TABELAS_COEFICIENTES!B3</f>
        <v>13.07</v>
      </c>
      <c r="C4" s="1"/>
      <c r="D4" s="1"/>
      <c r="E4" s="1"/>
      <c r="F4" s="1"/>
      <c r="G4"/>
      <c r="H4"/>
      <c r="I4"/>
      <c r="J4"/>
    </row>
    <row r="5" spans="1:10" ht="30" customHeight="1" x14ac:dyDescent="0.25">
      <c r="A5" s="246" t="s">
        <v>3</v>
      </c>
      <c r="B5" s="67">
        <f>TABELAS_COEFICIENTES!B4</f>
        <v>23.52</v>
      </c>
      <c r="C5" s="1"/>
      <c r="D5" s="1"/>
      <c r="E5" s="1"/>
      <c r="F5" s="1"/>
      <c r="G5"/>
      <c r="H5"/>
      <c r="I5"/>
      <c r="J5"/>
    </row>
    <row r="6" spans="1:10" ht="30" customHeight="1" thickBot="1" x14ac:dyDescent="0.3">
      <c r="A6" s="247" t="s">
        <v>4</v>
      </c>
      <c r="B6" s="127">
        <f>TABELAS_COEFICIENTES!B5</f>
        <v>20.23</v>
      </c>
      <c r="C6" s="1"/>
      <c r="D6" s="1"/>
      <c r="E6" s="1"/>
      <c r="F6" s="1"/>
      <c r="G6"/>
      <c r="H6"/>
      <c r="I6"/>
      <c r="J6"/>
    </row>
    <row r="7" spans="1:10" ht="17.25" thickBot="1" x14ac:dyDescent="0.35">
      <c r="A7" s="30"/>
      <c r="B7" s="31"/>
      <c r="C7" s="31"/>
      <c r="D7" s="31"/>
      <c r="E7" s="32"/>
      <c r="F7" s="31"/>
      <c r="H7" s="22"/>
      <c r="J7"/>
    </row>
    <row r="8" spans="1:10" ht="30" customHeight="1" thickBot="1" x14ac:dyDescent="0.3">
      <c r="A8" s="570" t="s">
        <v>70</v>
      </c>
      <c r="B8" s="571"/>
      <c r="C8" s="572"/>
      <c r="D8" s="31"/>
      <c r="E8" s="32"/>
      <c r="F8" s="31"/>
      <c r="H8" s="22"/>
      <c r="J8"/>
    </row>
    <row r="9" spans="1:10" ht="30" customHeight="1" x14ac:dyDescent="0.25">
      <c r="A9" s="576" t="s">
        <v>71</v>
      </c>
      <c r="B9" s="111" t="s">
        <v>72</v>
      </c>
      <c r="C9" s="191" t="str">
        <f>LOTEAMENTO_URBANIZAÇÃO!E83</f>
        <v/>
      </c>
      <c r="D9" s="28"/>
      <c r="E9" s="33"/>
      <c r="F9" s="26"/>
      <c r="H9" s="22"/>
      <c r="J9"/>
    </row>
    <row r="10" spans="1:10" ht="30" customHeight="1" x14ac:dyDescent="0.25">
      <c r="A10" s="574"/>
      <c r="B10" s="34" t="s">
        <v>73</v>
      </c>
      <c r="C10" s="193" t="str">
        <f>EDIFICAÇÃO_DEMOLIÇÃO!E117</f>
        <v/>
      </c>
      <c r="D10" s="28"/>
      <c r="E10" s="33"/>
      <c r="F10" s="26"/>
      <c r="H10" s="22"/>
      <c r="J10"/>
    </row>
    <row r="11" spans="1:10" ht="30" customHeight="1" x14ac:dyDescent="0.25">
      <c r="A11" s="574"/>
      <c r="B11" s="80" t="s">
        <v>74</v>
      </c>
      <c r="C11" s="193" t="str">
        <f>EDIFICAÇÃO_DEMOLIÇÃO!E118</f>
        <v/>
      </c>
      <c r="D11" s="28"/>
      <c r="E11" s="33"/>
      <c r="F11" s="26"/>
      <c r="H11" s="22"/>
      <c r="J11"/>
    </row>
    <row r="12" spans="1:10" ht="30" customHeight="1" x14ac:dyDescent="0.25">
      <c r="A12" s="574"/>
      <c r="B12" s="80" t="s">
        <v>75</v>
      </c>
      <c r="C12" s="193" t="str">
        <f>EDIFICAÇÃO_DEMOLIÇÃO!E119</f>
        <v/>
      </c>
      <c r="D12" s="28"/>
      <c r="E12" s="33"/>
      <c r="F12" s="26"/>
      <c r="H12" s="22"/>
      <c r="J12"/>
    </row>
    <row r="13" spans="1:10" ht="30" customHeight="1" x14ac:dyDescent="0.25">
      <c r="A13" s="575"/>
      <c r="B13" s="34" t="s">
        <v>76</v>
      </c>
      <c r="C13" s="190" t="str">
        <f>UTILIZAÇÃO!G74</f>
        <v/>
      </c>
      <c r="D13" s="28"/>
      <c r="E13" s="33"/>
      <c r="F13" s="26"/>
      <c r="H13" s="22"/>
      <c r="J13"/>
    </row>
    <row r="14" spans="1:10" ht="30" customHeight="1" x14ac:dyDescent="0.25">
      <c r="A14" s="577" t="s">
        <v>77</v>
      </c>
      <c r="B14" s="34" t="s">
        <v>78</v>
      </c>
      <c r="C14" s="194">
        <f>LOTEAMENTO_URBANIZAÇÃO!E14</f>
        <v>0</v>
      </c>
      <c r="D14" s="28"/>
      <c r="E14" s="33"/>
      <c r="F14" s="27"/>
      <c r="H14" s="22"/>
      <c r="J14"/>
    </row>
    <row r="15" spans="1:10" ht="30" customHeight="1" x14ac:dyDescent="0.25">
      <c r="A15" s="578"/>
      <c r="B15" s="34" t="s">
        <v>79</v>
      </c>
      <c r="C15" s="194">
        <f>EDIFICAÇÃO_DEMOLIÇÃO!E14</f>
        <v>0</v>
      </c>
      <c r="D15" s="28"/>
      <c r="E15" s="33"/>
      <c r="F15" s="27"/>
      <c r="H15" s="22"/>
      <c r="J15"/>
    </row>
    <row r="16" spans="1:10" ht="30" customHeight="1" x14ac:dyDescent="0.25">
      <c r="A16" s="579"/>
      <c r="B16" s="34" t="s">
        <v>80</v>
      </c>
      <c r="C16" s="195">
        <f>OUTROS!F12</f>
        <v>0</v>
      </c>
      <c r="D16" s="28"/>
      <c r="E16" s="33"/>
      <c r="F16" s="27"/>
      <c r="H16" s="22"/>
      <c r="J16"/>
    </row>
    <row r="17" spans="1:10" ht="30" customHeight="1" x14ac:dyDescent="0.25">
      <c r="A17" s="573" t="s">
        <v>81</v>
      </c>
      <c r="B17" s="34" t="s">
        <v>82</v>
      </c>
      <c r="C17" s="193" t="str">
        <f>EDIFICAÇÃO_DEMOLIÇÃO!E120</f>
        <v/>
      </c>
      <c r="D17" s="28"/>
      <c r="E17" s="33"/>
      <c r="F17" s="26"/>
      <c r="H17" s="22"/>
      <c r="J17"/>
    </row>
    <row r="18" spans="1:10" ht="30" customHeight="1" x14ac:dyDescent="0.25">
      <c r="A18" s="575"/>
      <c r="B18" s="34" t="s">
        <v>83</v>
      </c>
      <c r="C18" s="192">
        <f>LOTEAMENTO_URBANIZAÇÃO!E85</f>
        <v>2</v>
      </c>
      <c r="D18" s="28"/>
      <c r="E18" s="33"/>
      <c r="F18" s="26"/>
      <c r="H18" s="22"/>
      <c r="J18"/>
    </row>
    <row r="19" spans="1:10" ht="30" customHeight="1" x14ac:dyDescent="0.25">
      <c r="A19" s="573" t="s">
        <v>84</v>
      </c>
      <c r="B19" s="35" t="s">
        <v>85</v>
      </c>
      <c r="C19" s="135">
        <f>EDIFICAÇÃO_DEMOLIÇÃO!E28</f>
        <v>0</v>
      </c>
      <c r="D19" s="27"/>
      <c r="E19" s="29"/>
      <c r="F19" s="26"/>
      <c r="H19" s="22"/>
      <c r="J19"/>
    </row>
    <row r="20" spans="1:10" ht="30" customHeight="1" x14ac:dyDescent="0.25">
      <c r="A20" s="574"/>
      <c r="B20" s="36" t="s">
        <v>86</v>
      </c>
      <c r="C20" s="134">
        <f>EDIFICAÇÃO_DEMOLIÇÃO!E81</f>
        <v>0</v>
      </c>
      <c r="D20" s="27"/>
      <c r="E20" s="29"/>
      <c r="F20" s="26"/>
      <c r="H20" s="22"/>
      <c r="J20"/>
    </row>
    <row r="21" spans="1:10" ht="30" customHeight="1" x14ac:dyDescent="0.25">
      <c r="A21" s="574"/>
      <c r="B21" s="36" t="s">
        <v>87</v>
      </c>
      <c r="C21" s="134">
        <f>EDIFICAÇÃO_DEMOLIÇÃO!E82</f>
        <v>0</v>
      </c>
      <c r="D21" s="27"/>
      <c r="E21" s="29"/>
      <c r="F21" s="26"/>
      <c r="H21" s="22"/>
      <c r="J21"/>
    </row>
    <row r="22" spans="1:10" ht="30" customHeight="1" x14ac:dyDescent="0.25">
      <c r="A22" s="574"/>
      <c r="B22" s="36" t="s">
        <v>88</v>
      </c>
      <c r="C22" s="134">
        <f>EDIFICAÇÃO_DEMOLIÇÃO!E83</f>
        <v>0</v>
      </c>
      <c r="D22" s="27"/>
      <c r="E22" s="29"/>
      <c r="F22" s="26"/>
      <c r="H22" s="22"/>
      <c r="J22"/>
    </row>
    <row r="23" spans="1:10" ht="30" customHeight="1" x14ac:dyDescent="0.25">
      <c r="A23" s="575"/>
      <c r="B23" s="36" t="s">
        <v>89</v>
      </c>
      <c r="C23" s="195">
        <f>OUTROS!F14</f>
        <v>0</v>
      </c>
      <c r="D23" s="27"/>
      <c r="E23" s="29"/>
      <c r="F23" s="26"/>
      <c r="H23" s="22"/>
      <c r="J23"/>
    </row>
    <row r="24" spans="1:10" ht="30" customHeight="1" thickBot="1" x14ac:dyDescent="0.3">
      <c r="A24" s="88" t="s">
        <v>76</v>
      </c>
      <c r="B24" s="37" t="s">
        <v>90</v>
      </c>
      <c r="C24" s="198">
        <f>UTILIZAÇÃO!F54</f>
        <v>0</v>
      </c>
      <c r="D24" s="27"/>
      <c r="E24" s="29"/>
      <c r="F24" s="26"/>
      <c r="H24" s="22"/>
      <c r="J24"/>
    </row>
    <row r="25" spans="1:10" ht="15.75" thickBot="1" x14ac:dyDescent="0.3">
      <c r="A25" s="82"/>
      <c r="B25" s="27"/>
      <c r="C25" s="93"/>
      <c r="D25" s="27"/>
      <c r="E25" s="29"/>
      <c r="F25" s="26"/>
      <c r="H25" s="22"/>
      <c r="J25"/>
    </row>
    <row r="26" spans="1:10" ht="30" customHeight="1" thickBot="1" x14ac:dyDescent="0.3">
      <c r="A26" s="565" t="s">
        <v>91</v>
      </c>
      <c r="B26" s="566"/>
      <c r="C26" s="566"/>
      <c r="D26" s="566"/>
      <c r="E26" s="566"/>
      <c r="F26" s="567"/>
      <c r="G26" s="26"/>
    </row>
    <row r="27" spans="1:10" ht="60" customHeight="1" thickBot="1" x14ac:dyDescent="0.3">
      <c r="A27" s="38" t="s">
        <v>92</v>
      </c>
      <c r="B27" s="39" t="s">
        <v>93</v>
      </c>
      <c r="C27" s="40" t="s">
        <v>94</v>
      </c>
      <c r="D27" s="41" t="s">
        <v>95</v>
      </c>
      <c r="E27" s="42" t="s">
        <v>96</v>
      </c>
      <c r="F27" s="43" t="s">
        <v>97</v>
      </c>
      <c r="G27" s="26"/>
    </row>
    <row r="28" spans="1:10" ht="24.95" customHeight="1" x14ac:dyDescent="0.25">
      <c r="A28" s="68" t="s">
        <v>98</v>
      </c>
      <c r="B28" s="69"/>
      <c r="C28" s="44"/>
      <c r="D28" s="45"/>
      <c r="E28" s="46"/>
      <c r="F28" s="47"/>
      <c r="G28" s="26"/>
    </row>
    <row r="29" spans="1:10" ht="30" customHeight="1" x14ac:dyDescent="0.25">
      <c r="A29" s="70" t="s">
        <v>99</v>
      </c>
      <c r="B29" s="76" t="s">
        <v>100</v>
      </c>
      <c r="C29" s="202" t="s">
        <v>1</v>
      </c>
      <c r="D29" s="199">
        <f>B3</f>
        <v>94.08</v>
      </c>
      <c r="E29" s="48"/>
      <c r="F29" s="49"/>
      <c r="G29" s="26"/>
    </row>
    <row r="30" spans="1:10" ht="30" customHeight="1" x14ac:dyDescent="0.25">
      <c r="A30" s="70" t="s">
        <v>99</v>
      </c>
      <c r="B30" s="76" t="s">
        <v>101</v>
      </c>
      <c r="C30" s="263" t="s">
        <v>1</v>
      </c>
      <c r="D30" s="203"/>
      <c r="E30" s="50"/>
      <c r="F30" s="51"/>
      <c r="G30" s="26"/>
    </row>
    <row r="31" spans="1:10" ht="39.950000000000003" customHeight="1" x14ac:dyDescent="0.25">
      <c r="A31" s="70" t="s">
        <v>99</v>
      </c>
      <c r="B31" s="77" t="s">
        <v>102</v>
      </c>
      <c r="C31" s="263" t="s">
        <v>1</v>
      </c>
      <c r="D31" s="203"/>
      <c r="E31" s="50"/>
      <c r="F31" s="51"/>
      <c r="G31" s="26"/>
    </row>
    <row r="32" spans="1:10" ht="39.950000000000003" customHeight="1" x14ac:dyDescent="0.25">
      <c r="A32" s="70" t="s">
        <v>99</v>
      </c>
      <c r="B32" s="77" t="s">
        <v>103</v>
      </c>
      <c r="C32" s="263" t="s">
        <v>1</v>
      </c>
      <c r="D32" s="203"/>
      <c r="E32" s="50"/>
      <c r="F32" s="51"/>
      <c r="G32" s="26"/>
    </row>
    <row r="33" spans="1:10" s="133" customFormat="1" ht="30" customHeight="1" x14ac:dyDescent="0.25">
      <c r="A33" s="128" t="s">
        <v>99</v>
      </c>
      <c r="B33" s="129" t="s">
        <v>104</v>
      </c>
      <c r="C33" s="204" t="s">
        <v>105</v>
      </c>
      <c r="D33" s="205"/>
      <c r="E33" s="130"/>
      <c r="F33" s="131"/>
      <c r="G33" s="168"/>
      <c r="H33" s="169"/>
      <c r="I33" s="132"/>
      <c r="J33" s="132"/>
    </row>
    <row r="34" spans="1:10" ht="30" customHeight="1" x14ac:dyDescent="0.25">
      <c r="A34" s="70" t="s">
        <v>99</v>
      </c>
      <c r="B34" s="78" t="s">
        <v>106</v>
      </c>
      <c r="C34" s="201" t="s">
        <v>107</v>
      </c>
      <c r="D34" s="200">
        <f>2*B3</f>
        <v>188.16</v>
      </c>
      <c r="E34" s="50"/>
      <c r="F34" s="51"/>
      <c r="G34" s="26"/>
    </row>
    <row r="35" spans="1:10" ht="30" customHeight="1" x14ac:dyDescent="0.25">
      <c r="A35" s="70" t="s">
        <v>99</v>
      </c>
      <c r="B35" s="78" t="s">
        <v>108</v>
      </c>
      <c r="C35" s="264" t="s">
        <v>107</v>
      </c>
      <c r="D35" s="203"/>
      <c r="E35" s="50"/>
      <c r="F35" s="51"/>
      <c r="G35" s="26"/>
    </row>
    <row r="36" spans="1:10" ht="39.950000000000003" customHeight="1" x14ac:dyDescent="0.25">
      <c r="A36" s="70" t="s">
        <v>99</v>
      </c>
      <c r="B36" s="34" t="s">
        <v>109</v>
      </c>
      <c r="C36" s="202" t="s">
        <v>110</v>
      </c>
      <c r="D36" s="200">
        <f>3*B3</f>
        <v>282.24</v>
      </c>
      <c r="E36" s="50"/>
      <c r="F36" s="51"/>
      <c r="G36" s="26"/>
    </row>
    <row r="37" spans="1:10" ht="30" customHeight="1" thickBot="1" x14ac:dyDescent="0.3">
      <c r="A37" s="75" t="s">
        <v>99</v>
      </c>
      <c r="B37" s="79" t="s">
        <v>111</v>
      </c>
      <c r="C37" s="232" t="s">
        <v>112</v>
      </c>
      <c r="D37" s="233" t="e">
        <f>4*C10*B3</f>
        <v>#VALUE!</v>
      </c>
      <c r="E37" s="50"/>
      <c r="F37" s="51"/>
      <c r="G37" s="26"/>
    </row>
    <row r="38" spans="1:10" ht="24.95" customHeight="1" x14ac:dyDescent="0.25">
      <c r="A38" s="113" t="s">
        <v>113</v>
      </c>
      <c r="B38" s="119"/>
      <c r="C38" s="120"/>
      <c r="D38" s="116"/>
      <c r="E38" s="117"/>
      <c r="F38" s="118"/>
      <c r="G38" s="26"/>
    </row>
    <row r="39" spans="1:10" ht="39.950000000000003" customHeight="1" x14ac:dyDescent="0.25">
      <c r="A39" s="70" t="s">
        <v>114</v>
      </c>
      <c r="B39" s="34" t="s">
        <v>115</v>
      </c>
      <c r="C39" s="265" t="s">
        <v>110</v>
      </c>
      <c r="D39" s="206"/>
      <c r="E39" s="48"/>
      <c r="F39" s="49"/>
      <c r="G39" s="26"/>
    </row>
    <row r="40" spans="1:10" ht="50.1" customHeight="1" thickBot="1" x14ac:dyDescent="0.3">
      <c r="A40" s="121" t="s">
        <v>116</v>
      </c>
      <c r="B40" s="122" t="s">
        <v>117</v>
      </c>
      <c r="C40" s="266" t="s">
        <v>118</v>
      </c>
      <c r="D40" s="209"/>
      <c r="E40" s="50"/>
      <c r="F40" s="51"/>
      <c r="G40" s="26"/>
    </row>
    <row r="41" spans="1:10" ht="24.95" customHeight="1" x14ac:dyDescent="0.25">
      <c r="A41" s="113" t="s">
        <v>119</v>
      </c>
      <c r="B41" s="119"/>
      <c r="C41" s="120"/>
      <c r="D41" s="116"/>
      <c r="E41" s="123"/>
      <c r="F41" s="118"/>
      <c r="G41" s="26"/>
    </row>
    <row r="42" spans="1:10" ht="50.1" customHeight="1" x14ac:dyDescent="0.25">
      <c r="A42" s="70" t="s">
        <v>120</v>
      </c>
      <c r="B42" s="34" t="s">
        <v>121</v>
      </c>
      <c r="C42" s="265" t="s">
        <v>1</v>
      </c>
      <c r="D42" s="212"/>
      <c r="E42" s="48"/>
      <c r="F42" s="49"/>
      <c r="G42" s="26"/>
    </row>
    <row r="43" spans="1:10" ht="39.950000000000003" customHeight="1" x14ac:dyDescent="0.25">
      <c r="A43" s="70" t="s">
        <v>122</v>
      </c>
      <c r="B43" s="34" t="s">
        <v>123</v>
      </c>
      <c r="C43" s="265" t="s">
        <v>107</v>
      </c>
      <c r="D43" s="211"/>
      <c r="E43" s="50"/>
      <c r="F43" s="51"/>
      <c r="G43" s="26"/>
    </row>
    <row r="44" spans="1:10" ht="50.1" customHeight="1" x14ac:dyDescent="0.25">
      <c r="A44" s="70" t="s">
        <v>120</v>
      </c>
      <c r="B44" s="34" t="s">
        <v>124</v>
      </c>
      <c r="C44" s="265" t="s">
        <v>107</v>
      </c>
      <c r="D44" s="211"/>
      <c r="E44" s="50"/>
      <c r="F44" s="51"/>
      <c r="G44" s="26"/>
    </row>
    <row r="45" spans="1:10" ht="50.1" customHeight="1" x14ac:dyDescent="0.25">
      <c r="A45" s="70" t="s">
        <v>120</v>
      </c>
      <c r="B45" s="34" t="s">
        <v>125</v>
      </c>
      <c r="C45" s="265" t="s">
        <v>110</v>
      </c>
      <c r="D45" s="210"/>
      <c r="E45" s="50"/>
      <c r="F45" s="51"/>
      <c r="G45" s="26"/>
    </row>
    <row r="46" spans="1:10" ht="30" customHeight="1" x14ac:dyDescent="0.25">
      <c r="A46" s="70" t="s">
        <v>126</v>
      </c>
      <c r="B46" s="34" t="s">
        <v>127</v>
      </c>
      <c r="C46" s="207" t="s">
        <v>118</v>
      </c>
      <c r="D46" s="208">
        <f>4*B3</f>
        <v>376.32</v>
      </c>
      <c r="E46" s="52"/>
      <c r="F46" s="53"/>
      <c r="G46" s="26"/>
    </row>
    <row r="47" spans="1:10" ht="39.950000000000003" customHeight="1" x14ac:dyDescent="0.25">
      <c r="A47" s="73" t="s">
        <v>128</v>
      </c>
      <c r="B47" s="56" t="s">
        <v>129</v>
      </c>
      <c r="C47" s="255" t="s">
        <v>130</v>
      </c>
      <c r="D47" s="256">
        <f>(2*B3)+(C14*B5)</f>
        <v>188.16</v>
      </c>
      <c r="E47" s="257">
        <f>2*B3</f>
        <v>188.16</v>
      </c>
      <c r="F47" s="258">
        <f>D47-E47</f>
        <v>0</v>
      </c>
      <c r="G47" s="26"/>
    </row>
    <row r="48" spans="1:10" ht="50.1" customHeight="1" x14ac:dyDescent="0.25">
      <c r="A48" s="71" t="s">
        <v>131</v>
      </c>
      <c r="B48" s="56" t="s">
        <v>132</v>
      </c>
      <c r="C48" s="255" t="s">
        <v>133</v>
      </c>
      <c r="D48" s="57"/>
      <c r="E48" s="58"/>
      <c r="F48" s="59"/>
      <c r="G48" s="26"/>
    </row>
    <row r="49" spans="1:8" ht="50.1" customHeight="1" x14ac:dyDescent="0.25">
      <c r="A49" s="71" t="s">
        <v>134</v>
      </c>
      <c r="B49" s="56" t="s">
        <v>135</v>
      </c>
      <c r="C49" s="255" t="s">
        <v>133</v>
      </c>
      <c r="D49" s="57"/>
      <c r="E49" s="58"/>
      <c r="F49" s="59"/>
      <c r="G49" s="26"/>
    </row>
    <row r="50" spans="1:8" ht="39.950000000000003" customHeight="1" x14ac:dyDescent="0.25">
      <c r="A50" s="71" t="s">
        <v>136</v>
      </c>
      <c r="B50" s="56" t="s">
        <v>137</v>
      </c>
      <c r="C50" s="262" t="s">
        <v>133</v>
      </c>
      <c r="D50" s="57"/>
      <c r="E50" s="58"/>
      <c r="F50" s="59"/>
      <c r="G50" s="26"/>
    </row>
    <row r="51" spans="1:8" ht="39.950000000000003" customHeight="1" x14ac:dyDescent="0.25">
      <c r="A51" s="71" t="s">
        <v>136</v>
      </c>
      <c r="B51" s="56" t="s">
        <v>138</v>
      </c>
      <c r="C51" s="214" t="s">
        <v>139</v>
      </c>
      <c r="D51" s="213">
        <f>(2*B3)+(C16*1.2*B5)</f>
        <v>188.16</v>
      </c>
      <c r="E51" s="215">
        <f>2*B3</f>
        <v>188.16</v>
      </c>
      <c r="F51" s="216">
        <f>D51-E51</f>
        <v>0</v>
      </c>
      <c r="G51" s="26"/>
    </row>
    <row r="52" spans="1:8" ht="39.950000000000003" customHeight="1" x14ac:dyDescent="0.25">
      <c r="A52" s="73" t="s">
        <v>140</v>
      </c>
      <c r="B52" s="56" t="s">
        <v>141</v>
      </c>
      <c r="C52" s="255" t="s">
        <v>142</v>
      </c>
      <c r="D52" s="256">
        <f>(3*B3)+(C14*B5)</f>
        <v>282.24</v>
      </c>
      <c r="E52" s="257">
        <f>3*B3</f>
        <v>282.24</v>
      </c>
      <c r="F52" s="258">
        <f>D52-E52</f>
        <v>0</v>
      </c>
      <c r="G52" s="26"/>
    </row>
    <row r="53" spans="1:8" ht="50.1" customHeight="1" x14ac:dyDescent="0.25">
      <c r="A53" s="71" t="s">
        <v>134</v>
      </c>
      <c r="B53" s="56" t="s">
        <v>143</v>
      </c>
      <c r="C53" s="255" t="s">
        <v>144</v>
      </c>
      <c r="D53" s="57"/>
      <c r="E53" s="58"/>
      <c r="F53" s="59"/>
      <c r="G53" s="26"/>
    </row>
    <row r="54" spans="1:8" ht="39.950000000000003" customHeight="1" x14ac:dyDescent="0.25">
      <c r="A54" s="73" t="s">
        <v>145</v>
      </c>
      <c r="B54" s="56" t="s">
        <v>146</v>
      </c>
      <c r="C54" s="255" t="s">
        <v>144</v>
      </c>
      <c r="D54" s="57"/>
      <c r="E54" s="58"/>
      <c r="F54" s="59"/>
      <c r="G54" s="26"/>
    </row>
    <row r="55" spans="1:8" ht="39.950000000000003" customHeight="1" x14ac:dyDescent="0.25">
      <c r="A55" s="71" t="s">
        <v>147</v>
      </c>
      <c r="B55" s="56" t="s">
        <v>148</v>
      </c>
      <c r="C55" s="214" t="s">
        <v>142</v>
      </c>
      <c r="D55" s="213">
        <f>(3*B3)+(C16*B5)</f>
        <v>282.24</v>
      </c>
      <c r="E55" s="215">
        <f>3*B3</f>
        <v>282.24</v>
      </c>
      <c r="F55" s="216">
        <f t="shared" ref="F55" si="0">D55-E55</f>
        <v>0</v>
      </c>
      <c r="G55" s="26"/>
    </row>
    <row r="56" spans="1:8" ht="39.950000000000003" customHeight="1" x14ac:dyDescent="0.25">
      <c r="A56" s="71" t="s">
        <v>134</v>
      </c>
      <c r="B56" s="56" t="s">
        <v>149</v>
      </c>
      <c r="C56" s="260" t="s">
        <v>150</v>
      </c>
      <c r="D56" s="446" t="e">
        <f>(3*C9*B3)*C18+(C14*B5)</f>
        <v>#VALUE!</v>
      </c>
      <c r="E56" s="447" t="e">
        <f>3*C9*B3</f>
        <v>#VALUE!</v>
      </c>
      <c r="F56" s="448" t="e">
        <f>D56-E56</f>
        <v>#VALUE!</v>
      </c>
      <c r="G56" s="26"/>
    </row>
    <row r="57" spans="1:8" ht="50.1" customHeight="1" x14ac:dyDescent="0.25">
      <c r="A57" s="71" t="s">
        <v>151</v>
      </c>
      <c r="B57" s="56" t="s">
        <v>152</v>
      </c>
      <c r="C57" s="261" t="s">
        <v>150</v>
      </c>
      <c r="D57" s="159"/>
      <c r="E57" s="137"/>
      <c r="F57" s="138"/>
      <c r="G57" s="26"/>
    </row>
    <row r="58" spans="1:8" ht="39.950000000000003" customHeight="1" x14ac:dyDescent="0.25">
      <c r="A58" s="73" t="s">
        <v>153</v>
      </c>
      <c r="B58" s="56" t="s">
        <v>154</v>
      </c>
      <c r="C58" s="255" t="s">
        <v>155</v>
      </c>
      <c r="D58" s="256" t="e">
        <f>(5*C9*B3)*C18</f>
        <v>#VALUE!</v>
      </c>
      <c r="E58" s="257" t="e">
        <f>5*C9*B3</f>
        <v>#VALUE!</v>
      </c>
      <c r="F58" s="258" t="e">
        <f>D58-E58</f>
        <v>#VALUE!</v>
      </c>
      <c r="G58" s="26"/>
    </row>
    <row r="59" spans="1:8" ht="39.950000000000003" customHeight="1" x14ac:dyDescent="0.25">
      <c r="A59" s="73" t="s">
        <v>156</v>
      </c>
      <c r="B59" s="56" t="s">
        <v>157</v>
      </c>
      <c r="C59" s="255" t="s">
        <v>158</v>
      </c>
      <c r="D59" s="256" t="e">
        <f>(5*C9*B3)*C18+(C14*B5)</f>
        <v>#VALUE!</v>
      </c>
      <c r="E59" s="257" t="e">
        <f>5*C9*B3</f>
        <v>#VALUE!</v>
      </c>
      <c r="F59" s="258" t="e">
        <f>D59-E59</f>
        <v>#VALUE!</v>
      </c>
      <c r="G59" s="26"/>
    </row>
    <row r="60" spans="1:8" ht="39.950000000000003" customHeight="1" thickBot="1" x14ac:dyDescent="0.3">
      <c r="A60" s="124" t="s">
        <v>159</v>
      </c>
      <c r="B60" s="81" t="s">
        <v>160</v>
      </c>
      <c r="C60" s="259" t="s">
        <v>161</v>
      </c>
      <c r="D60" s="125"/>
      <c r="E60" s="126"/>
      <c r="F60" s="65"/>
      <c r="G60" s="26"/>
      <c r="H60" s="23" t="s">
        <v>162</v>
      </c>
    </row>
    <row r="61" spans="1:8" ht="24.95" customHeight="1" x14ac:dyDescent="0.25">
      <c r="A61" s="113" t="s">
        <v>163</v>
      </c>
      <c r="B61" s="114"/>
      <c r="C61" s="115"/>
      <c r="D61" s="116"/>
      <c r="E61" s="117"/>
      <c r="F61" s="118"/>
      <c r="G61" s="26"/>
    </row>
    <row r="62" spans="1:8" ht="39.950000000000003" customHeight="1" x14ac:dyDescent="0.25">
      <c r="A62" s="74" t="s">
        <v>164</v>
      </c>
      <c r="B62" s="34" t="s">
        <v>165</v>
      </c>
      <c r="C62" s="262" t="s">
        <v>166</v>
      </c>
      <c r="D62" s="55"/>
      <c r="E62" s="48"/>
      <c r="F62" s="49"/>
      <c r="G62" s="26"/>
    </row>
    <row r="63" spans="1:8" ht="39.950000000000003" customHeight="1" x14ac:dyDescent="0.25">
      <c r="A63" s="70" t="s">
        <v>167</v>
      </c>
      <c r="B63" s="34" t="s">
        <v>168</v>
      </c>
      <c r="C63" s="262" t="s">
        <v>166</v>
      </c>
      <c r="D63" s="55"/>
      <c r="E63" s="50"/>
      <c r="F63" s="51"/>
      <c r="G63" s="26"/>
    </row>
    <row r="64" spans="1:8" ht="39.950000000000003" customHeight="1" x14ac:dyDescent="0.25">
      <c r="A64" s="70" t="s">
        <v>169</v>
      </c>
      <c r="B64" s="34" t="s">
        <v>170</v>
      </c>
      <c r="C64" s="262" t="s">
        <v>171</v>
      </c>
      <c r="D64" s="55"/>
      <c r="E64" s="52"/>
      <c r="F64" s="53"/>
      <c r="G64" s="26"/>
    </row>
    <row r="65" spans="1:7" ht="39.950000000000003" customHeight="1" x14ac:dyDescent="0.25">
      <c r="A65" s="71" t="s">
        <v>172</v>
      </c>
      <c r="B65" s="56" t="s">
        <v>173</v>
      </c>
      <c r="C65" s="214" t="s">
        <v>130</v>
      </c>
      <c r="D65" s="213">
        <f>(2*B3)+(C16*B5)</f>
        <v>188.16</v>
      </c>
      <c r="E65" s="215">
        <f>2*B3</f>
        <v>188.16</v>
      </c>
      <c r="F65" s="216">
        <f>D65-E65</f>
        <v>0</v>
      </c>
      <c r="G65" s="26"/>
    </row>
    <row r="66" spans="1:7" ht="39.950000000000003" customHeight="1" x14ac:dyDescent="0.25">
      <c r="A66" s="217" t="s">
        <v>172</v>
      </c>
      <c r="B66" s="218" t="s">
        <v>174</v>
      </c>
      <c r="C66" s="219" t="s">
        <v>175</v>
      </c>
      <c r="D66" s="220"/>
      <c r="E66" s="221"/>
      <c r="F66" s="222"/>
      <c r="G66" s="26"/>
    </row>
    <row r="67" spans="1:7" ht="39.950000000000003" customHeight="1" x14ac:dyDescent="0.25">
      <c r="A67" s="73" t="s">
        <v>176</v>
      </c>
      <c r="B67" s="162" t="s">
        <v>177</v>
      </c>
      <c r="C67" s="224" t="s">
        <v>178</v>
      </c>
      <c r="D67" s="225" t="e">
        <f>(3*C11*B3)+(C15*B5)</f>
        <v>#VALUE!</v>
      </c>
      <c r="E67" s="226" t="e">
        <f>3*C11*B3</f>
        <v>#VALUE!</v>
      </c>
      <c r="F67" s="227" t="e">
        <f>D67-E67</f>
        <v>#VALUE!</v>
      </c>
      <c r="G67" s="26"/>
    </row>
    <row r="68" spans="1:7" ht="39.950000000000003" customHeight="1" x14ac:dyDescent="0.25">
      <c r="A68" s="71" t="s">
        <v>179</v>
      </c>
      <c r="B68" s="56" t="s">
        <v>180</v>
      </c>
      <c r="C68" s="214" t="s">
        <v>181</v>
      </c>
      <c r="D68" s="213">
        <f>(4*B3)+(C16*B5)</f>
        <v>376.32</v>
      </c>
      <c r="E68" s="215">
        <f>4*B3</f>
        <v>376.32</v>
      </c>
      <c r="F68" s="216">
        <f>D68-E68</f>
        <v>0</v>
      </c>
      <c r="G68" s="26"/>
    </row>
    <row r="69" spans="1:7" ht="39.950000000000003" customHeight="1" x14ac:dyDescent="0.25">
      <c r="A69" s="73" t="s">
        <v>182</v>
      </c>
      <c r="B69" s="162" t="s">
        <v>183</v>
      </c>
      <c r="C69" s="223" t="s">
        <v>184</v>
      </c>
      <c r="D69" s="225" t="e">
        <f>(4*C10*B3)*C17+(C15*B5)</f>
        <v>#VALUE!</v>
      </c>
      <c r="E69" s="226" t="e">
        <f>4*C10*B3</f>
        <v>#VALUE!</v>
      </c>
      <c r="F69" s="227" t="e">
        <f>D69-E69</f>
        <v>#VALUE!</v>
      </c>
      <c r="G69" s="26"/>
    </row>
    <row r="70" spans="1:7" ht="39.950000000000003" customHeight="1" x14ac:dyDescent="0.25">
      <c r="A70" s="73" t="s">
        <v>185</v>
      </c>
      <c r="B70" s="56" t="s">
        <v>186</v>
      </c>
      <c r="C70" s="223" t="s">
        <v>187</v>
      </c>
      <c r="D70" s="136"/>
      <c r="E70" s="137"/>
      <c r="F70" s="138"/>
      <c r="G70" s="26"/>
    </row>
    <row r="71" spans="1:7" ht="39.950000000000003" customHeight="1" x14ac:dyDescent="0.25">
      <c r="A71" s="71" t="s">
        <v>188</v>
      </c>
      <c r="B71" s="56" t="s">
        <v>189</v>
      </c>
      <c r="C71" s="223" t="s">
        <v>187</v>
      </c>
      <c r="D71" s="136"/>
      <c r="E71" s="137"/>
      <c r="F71" s="138"/>
      <c r="G71" s="26"/>
    </row>
    <row r="72" spans="1:7" ht="39.950000000000003" customHeight="1" x14ac:dyDescent="0.25">
      <c r="A72" s="71" t="s">
        <v>190</v>
      </c>
      <c r="B72" s="56" t="s">
        <v>191</v>
      </c>
      <c r="C72" s="223" t="s">
        <v>187</v>
      </c>
      <c r="D72" s="136"/>
      <c r="E72" s="137"/>
      <c r="F72" s="138"/>
      <c r="G72" s="26"/>
    </row>
    <row r="73" spans="1:7" ht="50.1" customHeight="1" thickBot="1" x14ac:dyDescent="0.3">
      <c r="A73" s="75" t="s">
        <v>190</v>
      </c>
      <c r="B73" s="79" t="s">
        <v>192</v>
      </c>
      <c r="C73" s="223" t="s">
        <v>187</v>
      </c>
      <c r="D73" s="139"/>
      <c r="E73" s="140"/>
      <c r="F73" s="138"/>
      <c r="G73" s="26"/>
    </row>
    <row r="74" spans="1:7" ht="24.95" customHeight="1" x14ac:dyDescent="0.25">
      <c r="A74" s="113" t="s">
        <v>193</v>
      </c>
      <c r="B74" s="119"/>
      <c r="C74" s="120"/>
      <c r="D74" s="116"/>
      <c r="E74" s="117"/>
      <c r="F74" s="118"/>
      <c r="G74" s="26"/>
    </row>
    <row r="75" spans="1:7" ht="39.950000000000003" customHeight="1" x14ac:dyDescent="0.25">
      <c r="A75" s="72" t="s">
        <v>194</v>
      </c>
      <c r="B75" s="80" t="s">
        <v>195</v>
      </c>
      <c r="C75" s="262" t="s">
        <v>196</v>
      </c>
      <c r="D75" s="60"/>
      <c r="E75" s="61"/>
      <c r="F75" s="62"/>
      <c r="G75" s="26"/>
    </row>
    <row r="76" spans="1:7" ht="39.950000000000003" customHeight="1" x14ac:dyDescent="0.25">
      <c r="A76" s="73" t="s">
        <v>197</v>
      </c>
      <c r="B76" s="56" t="s">
        <v>198</v>
      </c>
      <c r="C76" s="224" t="s">
        <v>199</v>
      </c>
      <c r="D76" s="225">
        <f>(2*C19/10*B3)+(C15*B5)</f>
        <v>0</v>
      </c>
      <c r="E76" s="226">
        <f>(2*C19/10*B3)</f>
        <v>0</v>
      </c>
      <c r="F76" s="227">
        <f>D76-E76</f>
        <v>0</v>
      </c>
      <c r="G76" s="26"/>
    </row>
    <row r="77" spans="1:7" ht="39.950000000000003" customHeight="1" x14ac:dyDescent="0.25">
      <c r="A77" s="73" t="s">
        <v>200</v>
      </c>
      <c r="B77" s="56" t="s">
        <v>201</v>
      </c>
      <c r="C77" s="224" t="s">
        <v>202</v>
      </c>
      <c r="D77" s="225">
        <f>2*(1+1/4*(C20-1))*B3+(C15*B5)</f>
        <v>141.12</v>
      </c>
      <c r="E77" s="226">
        <f>2*(1+1/4*(C20-1))*B3</f>
        <v>141.12</v>
      </c>
      <c r="F77" s="227">
        <f>D77-E77</f>
        <v>0</v>
      </c>
      <c r="G77" s="26"/>
    </row>
    <row r="78" spans="1:7" ht="39.950000000000003" customHeight="1" x14ac:dyDescent="0.25">
      <c r="A78" s="73" t="s">
        <v>203</v>
      </c>
      <c r="B78" s="56" t="s">
        <v>204</v>
      </c>
      <c r="C78" s="224" t="s">
        <v>205</v>
      </c>
      <c r="D78" s="225">
        <f>2*(1+1/4*(C21-1))*B3+(C15*B5)</f>
        <v>141.12</v>
      </c>
      <c r="E78" s="226">
        <f>2*(1+1/4*(C21-1))*B3</f>
        <v>141.12</v>
      </c>
      <c r="F78" s="227">
        <f t="shared" ref="F78:F80" si="1">D78-E78</f>
        <v>0</v>
      </c>
      <c r="G78" s="26"/>
    </row>
    <row r="79" spans="1:7" ht="39.950000000000003" customHeight="1" x14ac:dyDescent="0.25">
      <c r="A79" s="73" t="s">
        <v>206</v>
      </c>
      <c r="B79" s="56" t="s">
        <v>207</v>
      </c>
      <c r="C79" s="224" t="s">
        <v>205</v>
      </c>
      <c r="D79" s="225">
        <f>2*(1+1/4*(C22-1))*B3+(C15*B5)</f>
        <v>141.12</v>
      </c>
      <c r="E79" s="226">
        <f>2*(1+1/4*(C22-1))*B3</f>
        <v>141.12</v>
      </c>
      <c r="F79" s="227">
        <f t="shared" si="1"/>
        <v>0</v>
      </c>
      <c r="G79" s="26"/>
    </row>
    <row r="80" spans="1:7" ht="39.950000000000003" customHeight="1" x14ac:dyDescent="0.25">
      <c r="A80" s="73" t="s">
        <v>208</v>
      </c>
      <c r="B80" s="56" t="s">
        <v>209</v>
      </c>
      <c r="C80" s="214" t="s">
        <v>210</v>
      </c>
      <c r="D80" s="213">
        <f>2*(1+1/4*(C23-1))*B3+(C16*B5)</f>
        <v>141.12</v>
      </c>
      <c r="E80" s="215">
        <f>2*(1+1/4*(C23-1))*B3</f>
        <v>141.12</v>
      </c>
      <c r="F80" s="216">
        <f t="shared" si="1"/>
        <v>0</v>
      </c>
      <c r="G80" s="26"/>
    </row>
    <row r="81" spans="1:7" ht="50.1" customHeight="1" thickBot="1" x14ac:dyDescent="0.3">
      <c r="A81" s="112" t="s">
        <v>211</v>
      </c>
      <c r="B81" s="79" t="s">
        <v>212</v>
      </c>
      <c r="C81" s="228" t="s">
        <v>213</v>
      </c>
      <c r="D81" s="229" t="e">
        <f>(3*C12*B3)*C17</f>
        <v>#VALUE!</v>
      </c>
      <c r="E81" s="230" t="e">
        <f>(3*C12*B3)</f>
        <v>#VALUE!</v>
      </c>
      <c r="F81" s="231" t="e">
        <f>D81-E81</f>
        <v>#VALUE!</v>
      </c>
      <c r="G81" s="26"/>
    </row>
    <row r="82" spans="1:7" ht="24.95" customHeight="1" x14ac:dyDescent="0.25">
      <c r="A82" s="113" t="s">
        <v>214</v>
      </c>
      <c r="B82" s="114"/>
      <c r="C82" s="115"/>
      <c r="D82" s="116"/>
      <c r="E82" s="117"/>
      <c r="F82" s="118"/>
      <c r="G82" s="26"/>
    </row>
    <row r="83" spans="1:7" ht="30" customHeight="1" x14ac:dyDescent="0.25">
      <c r="A83" s="70" t="s">
        <v>215</v>
      </c>
      <c r="B83" s="34" t="s">
        <v>216</v>
      </c>
      <c r="C83" s="262" t="s">
        <v>166</v>
      </c>
      <c r="D83" s="55">
        <f>B3</f>
        <v>94.08</v>
      </c>
      <c r="E83" s="63"/>
      <c r="F83" s="49"/>
      <c r="G83" s="26"/>
    </row>
    <row r="84" spans="1:7" ht="69.95" customHeight="1" x14ac:dyDescent="0.25">
      <c r="A84" s="71" t="s">
        <v>217</v>
      </c>
      <c r="B84" s="56" t="s">
        <v>218</v>
      </c>
      <c r="C84" s="240" t="s">
        <v>219</v>
      </c>
      <c r="D84" s="241" t="e">
        <f>3*C13*B3</f>
        <v>#VALUE!</v>
      </c>
      <c r="E84" s="64"/>
      <c r="F84" s="51"/>
      <c r="G84" s="26"/>
    </row>
    <row r="85" spans="1:7" ht="39.950000000000003" customHeight="1" x14ac:dyDescent="0.25">
      <c r="A85" s="71" t="s">
        <v>217</v>
      </c>
      <c r="B85" s="56" t="s">
        <v>220</v>
      </c>
      <c r="C85" s="240" t="s">
        <v>221</v>
      </c>
      <c r="D85" s="242" t="e">
        <f>4*C13*B3</f>
        <v>#VALUE!</v>
      </c>
      <c r="E85" s="64"/>
      <c r="F85" s="53"/>
      <c r="G85" s="26"/>
    </row>
    <row r="86" spans="1:7" ht="69.95" customHeight="1" thickBot="1" x14ac:dyDescent="0.3">
      <c r="A86" s="112" t="s">
        <v>222</v>
      </c>
      <c r="B86" s="79" t="s">
        <v>223</v>
      </c>
      <c r="C86" s="243" t="s">
        <v>224</v>
      </c>
      <c r="D86" s="54"/>
      <c r="E86" s="177"/>
      <c r="F86" s="244">
        <f>(C24+4)*(B3)/10</f>
        <v>37.631999999999998</v>
      </c>
      <c r="G86" s="26"/>
    </row>
    <row r="87" spans="1:7" ht="24.95" customHeight="1" x14ac:dyDescent="0.25">
      <c r="A87" s="113" t="s">
        <v>225</v>
      </c>
      <c r="B87" s="186"/>
      <c r="C87" s="186"/>
      <c r="D87" s="189"/>
      <c r="E87" s="187"/>
      <c r="F87" s="188"/>
      <c r="G87" s="26"/>
    </row>
    <row r="88" spans="1:7" ht="39.950000000000003" customHeight="1" x14ac:dyDescent="0.25">
      <c r="A88" s="183" t="s">
        <v>226</v>
      </c>
      <c r="B88" s="184" t="s">
        <v>227</v>
      </c>
      <c r="C88" s="234" t="s">
        <v>110</v>
      </c>
      <c r="D88" s="235">
        <f>3*B3</f>
        <v>282.24</v>
      </c>
      <c r="E88" s="178"/>
      <c r="F88" s="185"/>
      <c r="G88" s="25"/>
    </row>
    <row r="89" spans="1:7" ht="30" customHeight="1" x14ac:dyDescent="0.25">
      <c r="A89" s="71" t="s">
        <v>228</v>
      </c>
      <c r="B89" s="174" t="s">
        <v>229</v>
      </c>
      <c r="C89" s="239" t="s">
        <v>196</v>
      </c>
      <c r="D89" s="238"/>
      <c r="E89" s="179"/>
      <c r="F89" s="181"/>
      <c r="G89" s="25"/>
    </row>
    <row r="90" spans="1:7" ht="39.950000000000003" customHeight="1" thickBot="1" x14ac:dyDescent="0.3">
      <c r="A90" s="124" t="s">
        <v>230</v>
      </c>
      <c r="B90" s="175" t="s">
        <v>231</v>
      </c>
      <c r="C90" s="236" t="s">
        <v>107</v>
      </c>
      <c r="D90" s="237">
        <f>2*B3</f>
        <v>188.16</v>
      </c>
      <c r="E90" s="180"/>
      <c r="F90" s="182"/>
    </row>
    <row r="92" spans="1:7" x14ac:dyDescent="0.25">
      <c r="B92" s="22" t="s">
        <v>162</v>
      </c>
    </row>
  </sheetData>
  <sheetProtection algorithmName="SHA-512" hashValue="gM5Mwo/u6+kqqawP4YoaIwOZ3esKgmuWH/KdgWL/5U7G36IFfa3EKciXBmfjiPNL3SlNB+rSjhk5ouWfoKnoQw==" saltValue="W0zSXesfiZZ1x9L13SnAlw==" spinCount="100000" sheet="1" objects="1" scenarios="1" selectLockedCells="1" selectUnlockedCells="1"/>
  <mergeCells count="7">
    <mergeCell ref="A26:F26"/>
    <mergeCell ref="A2:B2"/>
    <mergeCell ref="A8:C8"/>
    <mergeCell ref="A19:A23"/>
    <mergeCell ref="A9:A13"/>
    <mergeCell ref="A17:A18"/>
    <mergeCell ref="A14:A16"/>
  </mergeCells>
  <phoneticPr fontId="4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40" fitToHeight="0" orientation="portrait" r:id="rId1"/>
  <headerFooter>
    <oddHeader>&amp;L&amp;G&amp;R&amp;"-,Negrito"&amp;28&amp;K04+000SIMULADOR DE TAXAS&amp;26
&amp;20TAXAS CORRESPONDENTES À ATIVIDADE ADMINISTRATIVA</oddHeader>
    <oddFooter>&amp;L&amp;"-,Negrito"&amp;9
&amp;"Arial,Negrito"&amp;16&amp;K0070C0EPIOU&amp;9&amp;K01+000 &amp;"Arial,Normal"&amp;8Equipa de Projeto para Inovação Organizacional no Urbanismo&amp;"-,Normal"&amp;10 &amp;"-,Negrito" &amp;RSimulador de Taxas_Taxas Administrativas - &amp;"-,Negrito"Nov/2025&amp;"-,Normal"
&amp;P de &amp;N</oddFooter>
  </headerFooter>
  <rowBreaks count="1" manualBreakCount="1">
    <brk id="60" max="5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9E92-9090-43F3-AE77-4B28F7F684BE}">
  <sheetPr codeName="Folha13">
    <pageSetUpPr fitToPage="1"/>
  </sheetPr>
  <dimension ref="A1:F74"/>
  <sheetViews>
    <sheetView showGridLines="0" tabSelected="1" zoomScale="90" zoomScaleNormal="90" workbookViewId="0">
      <selection activeCell="D48" sqref="D48"/>
    </sheetView>
  </sheetViews>
  <sheetFormatPr defaultColWidth="5.5703125" defaultRowHeight="15.75" customHeight="1" x14ac:dyDescent="0.25"/>
  <cols>
    <col min="1" max="1" width="2.5703125" style="143" customWidth="1"/>
    <col min="2" max="2" width="8.5703125" style="142" customWidth="1"/>
    <col min="3" max="3" width="110.5703125" style="155" customWidth="1"/>
    <col min="4" max="4" width="110.5703125" style="143" customWidth="1"/>
    <col min="5" max="5" width="8.5703125" style="156" customWidth="1"/>
    <col min="6" max="6" width="2.5703125" style="143" customWidth="1"/>
    <col min="7" max="16384" width="5.5703125" style="143"/>
  </cols>
  <sheetData>
    <row r="1" spans="1:6" ht="15.75" customHeight="1" x14ac:dyDescent="0.25">
      <c r="A1" s="273"/>
      <c r="B1" s="267"/>
      <c r="C1" s="268"/>
      <c r="D1" s="269"/>
      <c r="E1" s="270"/>
      <c r="F1" s="273"/>
    </row>
    <row r="2" spans="1:6" ht="15.75" customHeight="1" x14ac:dyDescent="0.25">
      <c r="A2" s="273"/>
      <c r="B2" s="267"/>
      <c r="C2" s="271"/>
      <c r="D2" s="502"/>
      <c r="E2" s="502"/>
      <c r="F2" s="273"/>
    </row>
    <row r="3" spans="1:6" ht="15.75" customHeight="1" x14ac:dyDescent="0.25">
      <c r="A3" s="273"/>
      <c r="B3" s="267"/>
      <c r="C3" s="271"/>
      <c r="D3" s="269"/>
      <c r="E3" s="270"/>
      <c r="F3" s="273"/>
    </row>
    <row r="4" spans="1:6" ht="15.75" customHeight="1" x14ac:dyDescent="0.25">
      <c r="A4" s="273"/>
      <c r="B4" s="267"/>
      <c r="C4" s="271"/>
      <c r="D4" s="502"/>
      <c r="E4" s="502"/>
      <c r="F4" s="273"/>
    </row>
    <row r="5" spans="1:6" ht="15.75" customHeight="1" x14ac:dyDescent="0.25">
      <c r="A5" s="273"/>
      <c r="B5" s="267"/>
      <c r="C5" s="271"/>
      <c r="D5" s="269"/>
      <c r="E5" s="270"/>
      <c r="F5" s="273"/>
    </row>
    <row r="6" spans="1:6" ht="15.75" customHeight="1" x14ac:dyDescent="0.25">
      <c r="A6" s="273"/>
      <c r="B6" s="267"/>
      <c r="C6" s="271"/>
      <c r="D6" s="503"/>
      <c r="E6" s="503"/>
      <c r="F6" s="273"/>
    </row>
    <row r="7" spans="1:6" ht="15.75" customHeight="1" x14ac:dyDescent="0.25">
      <c r="A7" s="273"/>
      <c r="B7" s="267"/>
      <c r="C7" s="268"/>
      <c r="D7" s="269"/>
      <c r="E7" s="270"/>
      <c r="F7" s="273"/>
    </row>
    <row r="8" spans="1:6" ht="24.95" customHeight="1" x14ac:dyDescent="0.25">
      <c r="A8" s="273"/>
      <c r="B8" s="145" t="s">
        <v>232</v>
      </c>
      <c r="C8" s="145"/>
      <c r="D8" s="146"/>
      <c r="E8" s="147"/>
      <c r="F8" s="273"/>
    </row>
    <row r="9" spans="1:6" ht="15.75" customHeight="1" x14ac:dyDescent="0.25">
      <c r="A9" s="273"/>
      <c r="B9" s="267"/>
      <c r="C9" s="275"/>
      <c r="D9" s="273"/>
      <c r="E9" s="274"/>
      <c r="F9" s="273"/>
    </row>
    <row r="10" spans="1:6" s="464" customFormat="1" ht="39.950000000000003" customHeight="1" x14ac:dyDescent="0.25">
      <c r="A10" s="466"/>
      <c r="B10" s="467"/>
      <c r="C10" s="504" t="s">
        <v>233</v>
      </c>
      <c r="D10" s="504"/>
      <c r="E10" s="469"/>
      <c r="F10" s="466"/>
    </row>
    <row r="11" spans="1:6" ht="20.100000000000001" customHeight="1" x14ac:dyDescent="0.25">
      <c r="A11" s="273"/>
      <c r="B11" s="271"/>
      <c r="C11" s="470"/>
      <c r="D11" s="465" t="s">
        <v>234</v>
      </c>
      <c r="E11" s="270"/>
      <c r="F11" s="273"/>
    </row>
    <row r="12" spans="1:6" ht="20.100000000000001" customHeight="1" x14ac:dyDescent="0.25">
      <c r="A12" s="273"/>
      <c r="B12" s="271"/>
      <c r="C12" s="471"/>
      <c r="D12" s="472"/>
      <c r="E12" s="270"/>
      <c r="F12" s="273"/>
    </row>
    <row r="13" spans="1:6" ht="20.100000000000001" customHeight="1" x14ac:dyDescent="0.25">
      <c r="A13" s="273"/>
      <c r="B13" s="271"/>
      <c r="C13" s="506" t="s">
        <v>235</v>
      </c>
      <c r="D13" s="507"/>
      <c r="E13" s="270"/>
      <c r="F13" s="273"/>
    </row>
    <row r="14" spans="1:6" s="488" customFormat="1" ht="20.100000000000001" customHeight="1" x14ac:dyDescent="0.25">
      <c r="A14" s="485"/>
      <c r="B14" s="486"/>
      <c r="C14" s="508" t="s">
        <v>236</v>
      </c>
      <c r="D14" s="508"/>
      <c r="E14" s="487"/>
      <c r="F14" s="485"/>
    </row>
    <row r="15" spans="1:6" ht="20.100000000000001" customHeight="1" x14ac:dyDescent="0.25">
      <c r="A15" s="273"/>
      <c r="B15" s="271"/>
      <c r="C15" s="473"/>
      <c r="D15" s="473"/>
      <c r="E15" s="270"/>
      <c r="F15" s="273"/>
    </row>
    <row r="16" spans="1:6" ht="20.100000000000001" customHeight="1" x14ac:dyDescent="0.25">
      <c r="A16" s="273"/>
      <c r="B16" s="271"/>
      <c r="C16" s="511" t="s">
        <v>237</v>
      </c>
      <c r="D16" s="511"/>
      <c r="E16" s="270"/>
      <c r="F16" s="273"/>
    </row>
    <row r="17" spans="1:6" ht="20.100000000000001" customHeight="1" x14ac:dyDescent="0.35">
      <c r="A17" s="273"/>
      <c r="B17" s="489"/>
      <c r="C17" s="493" t="s">
        <v>238</v>
      </c>
      <c r="D17" s="494">
        <f>TABELAS_COEFICIENTES!B2</f>
        <v>94.08</v>
      </c>
      <c r="E17" s="270"/>
      <c r="F17" s="273"/>
    </row>
    <row r="18" spans="1:6" ht="20.100000000000001" customHeight="1" x14ac:dyDescent="0.35">
      <c r="A18" s="273"/>
      <c r="B18" s="489"/>
      <c r="C18" s="493" t="s">
        <v>239</v>
      </c>
      <c r="D18" s="494">
        <f>TABELAS_COEFICIENTES!B3</f>
        <v>13.07</v>
      </c>
      <c r="E18" s="270"/>
      <c r="F18" s="273"/>
    </row>
    <row r="19" spans="1:6" ht="20.100000000000001" customHeight="1" x14ac:dyDescent="0.35">
      <c r="A19" s="273"/>
      <c r="B19" s="489"/>
      <c r="C19" s="493" t="s">
        <v>240</v>
      </c>
      <c r="D19" s="494">
        <f>TABELAS_COEFICIENTES!B4</f>
        <v>23.52</v>
      </c>
      <c r="E19" s="270"/>
      <c r="F19" s="273"/>
    </row>
    <row r="20" spans="1:6" ht="20.100000000000001" customHeight="1" x14ac:dyDescent="0.35">
      <c r="A20" s="273"/>
      <c r="B20" s="489"/>
      <c r="C20" s="493" t="s">
        <v>241</v>
      </c>
      <c r="D20" s="494">
        <f>TABELAS_COEFICIENTES!B5</f>
        <v>20.23</v>
      </c>
      <c r="E20" s="270"/>
      <c r="F20" s="273"/>
    </row>
    <row r="21" spans="1:6" ht="15.95" customHeight="1" x14ac:dyDescent="0.25">
      <c r="A21" s="273"/>
      <c r="B21" s="489"/>
      <c r="C21" s="491" t="s">
        <v>242</v>
      </c>
      <c r="D21" s="484"/>
      <c r="E21" s="270"/>
      <c r="F21" s="273"/>
    </row>
    <row r="22" spans="1:6" ht="15.95" customHeight="1" x14ac:dyDescent="0.25">
      <c r="A22" s="273"/>
      <c r="B22" s="489"/>
      <c r="C22" s="492" t="s">
        <v>243</v>
      </c>
      <c r="D22" s="484"/>
      <c r="E22" s="270"/>
      <c r="F22" s="273"/>
    </row>
    <row r="23" spans="1:6" ht="15.95" customHeight="1" x14ac:dyDescent="0.25">
      <c r="A23" s="273"/>
      <c r="B23" s="489"/>
      <c r="C23" s="492" t="s">
        <v>244</v>
      </c>
      <c r="D23" s="484"/>
      <c r="E23" s="270"/>
      <c r="F23" s="273"/>
    </row>
    <row r="24" spans="1:6" ht="15.95" customHeight="1" x14ac:dyDescent="0.25">
      <c r="A24" s="273"/>
      <c r="B24" s="489"/>
      <c r="C24" s="492" t="s">
        <v>245</v>
      </c>
      <c r="D24" s="484"/>
      <c r="E24" s="270"/>
      <c r="F24" s="273"/>
    </row>
    <row r="25" spans="1:6" ht="15.95" customHeight="1" x14ac:dyDescent="0.25">
      <c r="A25" s="273"/>
      <c r="B25" s="489"/>
      <c r="C25" s="492" t="s">
        <v>246</v>
      </c>
      <c r="D25" s="484"/>
      <c r="E25" s="270"/>
      <c r="F25" s="273"/>
    </row>
    <row r="26" spans="1:6" ht="15.95" customHeight="1" x14ac:dyDescent="0.25">
      <c r="A26" s="273"/>
      <c r="B26" s="498"/>
      <c r="C26" s="499"/>
      <c r="D26" s="500"/>
      <c r="E26" s="501"/>
      <c r="F26" s="273"/>
    </row>
    <row r="27" spans="1:6" ht="20.100000000000001" customHeight="1" x14ac:dyDescent="0.25">
      <c r="A27" s="273"/>
      <c r="B27" s="490"/>
      <c r="C27" s="483"/>
      <c r="D27" s="473"/>
      <c r="E27" s="270"/>
      <c r="F27" s="273"/>
    </row>
    <row r="28" spans="1:6" x14ac:dyDescent="0.25">
      <c r="A28" s="273"/>
      <c r="B28" s="271"/>
      <c r="C28" s="276" t="s">
        <v>247</v>
      </c>
      <c r="D28" s="269"/>
      <c r="E28" s="283"/>
      <c r="F28" s="273"/>
    </row>
    <row r="29" spans="1:6" x14ac:dyDescent="0.25">
      <c r="A29" s="273"/>
      <c r="B29" s="271"/>
      <c r="C29" s="276"/>
      <c r="D29" s="269"/>
      <c r="E29" s="283"/>
      <c r="F29" s="273"/>
    </row>
    <row r="30" spans="1:6" ht="20.100000000000001" customHeight="1" x14ac:dyDescent="0.25">
      <c r="A30" s="273"/>
      <c r="B30" s="474" t="s">
        <v>248</v>
      </c>
      <c r="C30" s="505" t="s">
        <v>249</v>
      </c>
      <c r="D30" s="505"/>
      <c r="E30" s="270"/>
      <c r="F30" s="273"/>
    </row>
    <row r="31" spans="1:6" ht="20.100000000000001" customHeight="1" x14ac:dyDescent="0.25">
      <c r="A31" s="273"/>
      <c r="B31" s="271"/>
      <c r="C31" s="515" t="s">
        <v>250</v>
      </c>
      <c r="D31" s="515"/>
      <c r="E31" s="283"/>
      <c r="F31" s="273"/>
    </row>
    <row r="32" spans="1:6" x14ac:dyDescent="0.25">
      <c r="A32" s="273"/>
      <c r="B32" s="271"/>
      <c r="C32" s="279"/>
      <c r="D32" s="269"/>
      <c r="E32" s="283"/>
      <c r="F32" s="273"/>
    </row>
    <row r="33" spans="1:6" ht="20.100000000000001" customHeight="1" x14ac:dyDescent="0.25">
      <c r="A33" s="273"/>
      <c r="B33" s="474" t="s">
        <v>248</v>
      </c>
      <c r="C33" s="308" t="s">
        <v>251</v>
      </c>
      <c r="D33" s="269"/>
      <c r="E33" s="283"/>
      <c r="F33" s="273"/>
    </row>
    <row r="34" spans="1:6" ht="39.950000000000003" customHeight="1" x14ac:dyDescent="0.25">
      <c r="A34" s="273"/>
      <c r="B34" s="271"/>
      <c r="C34" s="514" t="s">
        <v>252</v>
      </c>
      <c r="D34" s="514"/>
      <c r="E34" s="283"/>
      <c r="F34" s="273"/>
    </row>
    <row r="35" spans="1:6" s="464" customFormat="1" ht="30" customHeight="1" x14ac:dyDescent="0.25">
      <c r="A35" s="466"/>
      <c r="B35" s="467"/>
      <c r="C35" s="510" t="s">
        <v>253</v>
      </c>
      <c r="D35" s="510"/>
      <c r="E35" s="475"/>
      <c r="F35" s="466"/>
    </row>
    <row r="36" spans="1:6" x14ac:dyDescent="0.25">
      <c r="A36" s="273"/>
      <c r="B36" s="271"/>
      <c r="C36" s="513"/>
      <c r="D36" s="513"/>
      <c r="E36" s="283"/>
      <c r="F36" s="273"/>
    </row>
    <row r="37" spans="1:6" ht="20.100000000000001" customHeight="1" x14ac:dyDescent="0.25">
      <c r="A37" s="273"/>
      <c r="B37" s="474" t="s">
        <v>248</v>
      </c>
      <c r="C37" s="308" t="s">
        <v>254</v>
      </c>
      <c r="D37" s="269"/>
      <c r="E37" s="283"/>
      <c r="F37" s="273"/>
    </row>
    <row r="38" spans="1:6" ht="30" customHeight="1" x14ac:dyDescent="0.25">
      <c r="A38" s="273"/>
      <c r="B38" s="271"/>
      <c r="C38" s="514" t="s">
        <v>255</v>
      </c>
      <c r="D38" s="514"/>
      <c r="E38" s="283"/>
      <c r="F38" s="273"/>
    </row>
    <row r="39" spans="1:6" x14ac:dyDescent="0.25">
      <c r="A39" s="273"/>
      <c r="B39" s="271"/>
      <c r="C39" s="468"/>
      <c r="D39" s="468"/>
      <c r="E39" s="283"/>
      <c r="F39" s="273"/>
    </row>
    <row r="40" spans="1:6" x14ac:dyDescent="0.25">
      <c r="A40" s="273"/>
      <c r="B40" s="271"/>
      <c r="C40" s="276" t="s">
        <v>256</v>
      </c>
      <c r="D40" s="468"/>
      <c r="E40" s="283"/>
      <c r="F40" s="273"/>
    </row>
    <row r="41" spans="1:6" x14ac:dyDescent="0.25">
      <c r="A41" s="273"/>
      <c r="B41" s="271"/>
      <c r="C41" s="468"/>
      <c r="D41" s="468"/>
      <c r="E41" s="283"/>
      <c r="F41" s="273"/>
    </row>
    <row r="42" spans="1:6" ht="24.95" customHeight="1" x14ac:dyDescent="0.25">
      <c r="A42" s="273"/>
      <c r="B42" s="145" t="s">
        <v>257</v>
      </c>
      <c r="C42" s="145"/>
      <c r="D42" s="146"/>
      <c r="E42" s="147"/>
      <c r="F42" s="273"/>
    </row>
    <row r="43" spans="1:6" ht="20.100000000000001" customHeight="1" x14ac:dyDescent="0.25">
      <c r="A43" s="273"/>
      <c r="B43" s="271"/>
      <c r="C43" s="279"/>
      <c r="D43" s="269"/>
      <c r="E43" s="283"/>
      <c r="F43" s="273"/>
    </row>
    <row r="44" spans="1:6" ht="30" customHeight="1" x14ac:dyDescent="0.25">
      <c r="A44" s="273"/>
      <c r="B44" s="474" t="s">
        <v>258</v>
      </c>
      <c r="C44" s="512" t="s">
        <v>259</v>
      </c>
      <c r="D44" s="512"/>
      <c r="E44" s="283"/>
      <c r="F44" s="273"/>
    </row>
    <row r="45" spans="1:6" x14ac:dyDescent="0.25">
      <c r="A45" s="273"/>
      <c r="B45" s="495"/>
      <c r="C45" s="477"/>
      <c r="D45" s="477"/>
      <c r="E45" s="283"/>
      <c r="F45" s="273"/>
    </row>
    <row r="46" spans="1:6" x14ac:dyDescent="0.25">
      <c r="A46" s="273"/>
      <c r="B46" s="496"/>
      <c r="C46" s="282" t="s">
        <v>260</v>
      </c>
      <c r="D46" s="269"/>
      <c r="E46" s="283"/>
      <c r="F46" s="273"/>
    </row>
    <row r="47" spans="1:6" x14ac:dyDescent="0.25">
      <c r="A47" s="273"/>
      <c r="B47" s="496"/>
      <c r="C47" s="269"/>
      <c r="D47" s="269"/>
      <c r="E47" s="283"/>
      <c r="F47" s="273"/>
    </row>
    <row r="48" spans="1:6" ht="20.100000000000001" customHeight="1" x14ac:dyDescent="0.25">
      <c r="A48" s="273"/>
      <c r="B48" s="496"/>
      <c r="C48" s="478" t="s">
        <v>261</v>
      </c>
      <c r="D48" s="497" t="s">
        <v>262</v>
      </c>
      <c r="E48" s="283"/>
      <c r="F48" s="273"/>
    </row>
    <row r="49" spans="1:6" x14ac:dyDescent="0.25">
      <c r="A49" s="273"/>
      <c r="B49" s="496"/>
      <c r="C49" s="479"/>
      <c r="D49" s="367"/>
      <c r="E49" s="283"/>
      <c r="F49" s="273"/>
    </row>
    <row r="50" spans="1:6" ht="20.100000000000001" customHeight="1" x14ac:dyDescent="0.25">
      <c r="A50" s="273"/>
      <c r="B50" s="496"/>
      <c r="C50" s="478" t="s">
        <v>263</v>
      </c>
      <c r="D50" s="497" t="s">
        <v>264</v>
      </c>
      <c r="E50" s="283"/>
      <c r="F50" s="273"/>
    </row>
    <row r="51" spans="1:6" x14ac:dyDescent="0.25">
      <c r="A51" s="273"/>
      <c r="B51" s="496"/>
      <c r="C51" s="479"/>
      <c r="D51" s="371"/>
      <c r="E51" s="283"/>
      <c r="F51" s="273"/>
    </row>
    <row r="52" spans="1:6" ht="20.100000000000001" customHeight="1" x14ac:dyDescent="0.25">
      <c r="A52" s="273"/>
      <c r="B52" s="496"/>
      <c r="C52" s="478" t="s">
        <v>265</v>
      </c>
      <c r="D52" s="497" t="s">
        <v>266</v>
      </c>
      <c r="E52" s="283"/>
      <c r="F52" s="273"/>
    </row>
    <row r="53" spans="1:6" x14ac:dyDescent="0.25">
      <c r="A53" s="273"/>
      <c r="B53" s="496"/>
      <c r="C53" s="479"/>
      <c r="D53" s="371"/>
      <c r="E53" s="283"/>
      <c r="F53" s="273"/>
    </row>
    <row r="54" spans="1:6" ht="20.100000000000001" customHeight="1" x14ac:dyDescent="0.25">
      <c r="A54" s="273"/>
      <c r="B54" s="496"/>
      <c r="C54" s="478" t="s">
        <v>267</v>
      </c>
      <c r="D54" s="497" t="s">
        <v>268</v>
      </c>
      <c r="E54" s="283"/>
      <c r="F54" s="273"/>
    </row>
    <row r="55" spans="1:6" x14ac:dyDescent="0.25">
      <c r="A55" s="273"/>
      <c r="B55" s="496"/>
      <c r="C55" s="479"/>
      <c r="D55" s="371"/>
      <c r="E55" s="283"/>
      <c r="F55" s="273"/>
    </row>
    <row r="56" spans="1:6" ht="20.100000000000001" customHeight="1" x14ac:dyDescent="0.25">
      <c r="A56" s="273"/>
      <c r="B56" s="496"/>
      <c r="C56" s="478" t="s">
        <v>269</v>
      </c>
      <c r="D56" s="497" t="s">
        <v>270</v>
      </c>
      <c r="E56" s="283"/>
      <c r="F56" s="273"/>
    </row>
    <row r="57" spans="1:6" ht="35.1" customHeight="1" x14ac:dyDescent="0.25">
      <c r="A57" s="273"/>
      <c r="B57" s="496"/>
      <c r="C57" s="269"/>
      <c r="D57" s="497" t="s">
        <v>271</v>
      </c>
      <c r="E57" s="283"/>
      <c r="F57" s="273"/>
    </row>
    <row r="58" spans="1:6" ht="20.100000000000001" customHeight="1" x14ac:dyDescent="0.25">
      <c r="A58" s="273"/>
      <c r="B58" s="496"/>
      <c r="C58" s="269"/>
      <c r="D58" s="497" t="s">
        <v>272</v>
      </c>
      <c r="E58" s="283"/>
      <c r="F58" s="273"/>
    </row>
    <row r="59" spans="1:6" ht="20.100000000000001" customHeight="1" x14ac:dyDescent="0.25">
      <c r="A59" s="273"/>
      <c r="B59" s="496"/>
      <c r="C59" s="276"/>
      <c r="D59" s="269"/>
      <c r="E59" s="270"/>
      <c r="F59" s="273"/>
    </row>
    <row r="60" spans="1:6" ht="30" customHeight="1" x14ac:dyDescent="0.25">
      <c r="A60" s="273"/>
      <c r="B60" s="474" t="s">
        <v>258</v>
      </c>
      <c r="C60" s="512" t="s">
        <v>273</v>
      </c>
      <c r="D60" s="516"/>
      <c r="E60" s="270"/>
      <c r="F60" s="273"/>
    </row>
    <row r="61" spans="1:6" x14ac:dyDescent="0.25">
      <c r="A61" s="273"/>
      <c r="B61" s="474"/>
      <c r="C61" s="477"/>
      <c r="D61" s="480"/>
      <c r="E61" s="270"/>
      <c r="F61" s="273"/>
    </row>
    <row r="62" spans="1:6" ht="30" customHeight="1" x14ac:dyDescent="0.25">
      <c r="A62" s="273"/>
      <c r="B62" s="474" t="s">
        <v>258</v>
      </c>
      <c r="C62" s="512" t="s">
        <v>274</v>
      </c>
      <c r="D62" s="512"/>
      <c r="E62" s="270"/>
      <c r="F62" s="273"/>
    </row>
    <row r="63" spans="1:6" x14ac:dyDescent="0.25">
      <c r="A63" s="273"/>
      <c r="B63" s="474"/>
      <c r="C63" s="477"/>
      <c r="D63" s="480"/>
      <c r="E63" s="270"/>
      <c r="F63" s="273"/>
    </row>
    <row r="64" spans="1:6" ht="30" customHeight="1" x14ac:dyDescent="0.25">
      <c r="A64" s="273"/>
      <c r="B64" s="474" t="s">
        <v>258</v>
      </c>
      <c r="C64" s="509" t="s">
        <v>275</v>
      </c>
      <c r="D64" s="509"/>
      <c r="E64" s="280"/>
      <c r="F64" s="273"/>
    </row>
    <row r="65" spans="1:6" ht="20.100000000000001" customHeight="1" x14ac:dyDescent="0.25">
      <c r="A65" s="273"/>
      <c r="B65" s="476"/>
      <c r="C65" s="481"/>
      <c r="D65" s="481"/>
      <c r="E65" s="280"/>
      <c r="F65" s="273"/>
    </row>
    <row r="66" spans="1:6" ht="15.6" customHeight="1" x14ac:dyDescent="0.25">
      <c r="A66" s="273"/>
      <c r="B66" s="350"/>
      <c r="C66" s="329"/>
      <c r="D66" s="329"/>
      <c r="E66" s="329"/>
      <c r="F66" s="319"/>
    </row>
    <row r="67" spans="1:6" ht="15.6" customHeight="1" x14ac:dyDescent="0.25">
      <c r="A67" s="273"/>
      <c r="B67" s="267"/>
      <c r="C67" s="319"/>
      <c r="D67" s="319"/>
      <c r="E67" s="319"/>
      <c r="F67" s="319"/>
    </row>
    <row r="68" spans="1:6" ht="15.75" customHeight="1" x14ac:dyDescent="0.25">
      <c r="A68" s="273"/>
      <c r="B68" s="301" t="s">
        <v>276</v>
      </c>
      <c r="C68" s="322" t="s">
        <v>277</v>
      </c>
      <c r="D68" s="319"/>
      <c r="E68" s="319"/>
      <c r="F68" s="319"/>
    </row>
    <row r="69" spans="1:6" ht="15.75" customHeight="1" x14ac:dyDescent="0.25">
      <c r="A69" s="273"/>
      <c r="B69" s="301"/>
      <c r="C69" s="450" t="s">
        <v>278</v>
      </c>
      <c r="D69" s="319"/>
      <c r="E69" s="319"/>
      <c r="F69" s="319"/>
    </row>
    <row r="70" spans="1:6" ht="15.75" customHeight="1" x14ac:dyDescent="0.25">
      <c r="A70" s="273"/>
      <c r="B70" s="267"/>
      <c r="C70" s="298" t="s">
        <v>279</v>
      </c>
      <c r="D70" s="273"/>
      <c r="E70" s="274"/>
      <c r="F70" s="273"/>
    </row>
    <row r="71" spans="1:6" ht="15.75" customHeight="1" x14ac:dyDescent="0.25">
      <c r="A71" s="273"/>
      <c r="B71" s="267"/>
      <c r="C71" s="298" t="s">
        <v>280</v>
      </c>
      <c r="D71" s="273"/>
      <c r="E71" s="274"/>
      <c r="F71" s="273"/>
    </row>
    <row r="72" spans="1:6" ht="15.75" customHeight="1" x14ac:dyDescent="0.25">
      <c r="A72" s="273"/>
      <c r="B72" s="267"/>
      <c r="C72" s="298" t="s">
        <v>281</v>
      </c>
      <c r="D72" s="273"/>
      <c r="E72" s="274"/>
      <c r="F72" s="273"/>
    </row>
    <row r="73" spans="1:6" ht="15.75" customHeight="1" x14ac:dyDescent="0.25">
      <c r="A73" s="273"/>
      <c r="B73" s="267"/>
      <c r="C73" s="275"/>
      <c r="D73" s="273"/>
      <c r="E73" s="274"/>
      <c r="F73" s="273"/>
    </row>
    <row r="74" spans="1:6" ht="15.75" customHeight="1" x14ac:dyDescent="0.25">
      <c r="D74"/>
    </row>
  </sheetData>
  <sheetProtection algorithmName="SHA-512" hashValue="4QVBuIO42tLl/WYk6sXYVUS7urD8kFhYhkfF4qAoVLK7zhScEv/82tojW7SYMu3lRamA9bPteA3T+bTdXbxKsg==" saltValue="vxLpO3bYrneIreHsdN7RmA==" spinCount="100000" sheet="1" objects="1" scenarios="1" selectLockedCells="1"/>
  <mergeCells count="17">
    <mergeCell ref="C64:D64"/>
    <mergeCell ref="C35:D35"/>
    <mergeCell ref="C16:D16"/>
    <mergeCell ref="C62:D62"/>
    <mergeCell ref="C36:D36"/>
    <mergeCell ref="C34:D34"/>
    <mergeCell ref="C38:D38"/>
    <mergeCell ref="C31:D31"/>
    <mergeCell ref="C44:D44"/>
    <mergeCell ref="C60:D60"/>
    <mergeCell ref="D2:E2"/>
    <mergeCell ref="D4:E4"/>
    <mergeCell ref="D6:E6"/>
    <mergeCell ref="C10:D10"/>
    <mergeCell ref="C30:D30"/>
    <mergeCell ref="C13:D13"/>
    <mergeCell ref="C14:D14"/>
  </mergeCells>
  <dataValidations disablePrompts="1" count="1">
    <dataValidation type="whole" allowBlank="1" showInputMessage="1" showErrorMessage="1" sqref="E64:E65 E29 E31:E41 E43:E58" xr:uid="{2C39C905-36C5-4B83-9E9C-B8ECF28072E7}">
      <formula1>0</formula1>
      <formula2>30</formula2>
    </dataValidation>
  </dataValidations>
  <hyperlinks>
    <hyperlink ref="D48" location="EDIFICAÇÃO_DEMOLIÇÃO!A1" display="EDIFICAÇÃO_DEMOLIÇÃO" xr:uid="{CC1A9391-186A-4149-AAB9-3DECF107F24A}"/>
    <hyperlink ref="D50" location="LOTEAMENTO_URBANIZAÇÃO!A1" display="LOTEAMENTO_URBANIZAÇÃO" xr:uid="{223F8EE9-06A5-40A8-99B6-F0CC2A0F484B}"/>
    <hyperlink ref="D52" location="UTILIZAÇÃO!A1" display="UTILIZAÇÃO" xr:uid="{FF6EF401-D11A-4CC3-9C11-DAF396CC1326}"/>
    <hyperlink ref="D54" location="OUTROS!A1" display="OUTROS" xr:uid="{3E5FE231-B9B6-4B8F-BB2F-97409015E4D8}"/>
    <hyperlink ref="D56" location="'OVP_Traçados A e B'!A1" display="OVP_Traçados A e B" xr:uid="{F67AC91A-B1A5-4CA9-ABE2-3A5F50E71D55}"/>
    <hyperlink ref="D57" location="'OVP_Traçados C e D'!A1" display="OVP_Traçados C e D" xr:uid="{600726A8-D0F3-4556-91C3-5A0C51A21BAF}"/>
    <hyperlink ref="D58" location="'OVP_Espaços a Consolidar'!A1" display="OVP_Espaços a Consolidar" xr:uid="{82E627A7-6641-48C3-8A81-2C798E3732D8}"/>
    <hyperlink ref="C16:D16" r:id="rId1" display="Os valores unitários atualizados através do Regulamento do Orçamento do Município de Lisboa para 2026, são os seguintes:" xr:uid="{605F5E64-B12A-4B9E-A755-44716C77A11B}"/>
    <hyperlink ref="D11" r:id="rId2" display="Consulte o Regulamento Municipal de Taxas Relacionadas com a Atividade Urbanística e Operações Conexas (RMTRAUOC)" xr:uid="{3F2CE5DD-9B2F-4225-881B-753F568727C1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3"/>
  <headerFooter>
    <oddFooter>&amp;RPágina &amp;P de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4993-18A3-4FCA-AC85-EB71E21C8B31}">
  <sheetPr codeName="Folha6">
    <tabColor theme="4"/>
    <pageSetUpPr fitToPage="1"/>
  </sheetPr>
  <dimension ref="A1:F136"/>
  <sheetViews>
    <sheetView showGridLines="0" zoomScale="90" zoomScaleNormal="90" workbookViewId="0">
      <selection activeCell="D2" sqref="D2:E2"/>
    </sheetView>
  </sheetViews>
  <sheetFormatPr defaultColWidth="5.5703125" defaultRowHeight="15.75" customHeight="1" x14ac:dyDescent="0.25"/>
  <cols>
    <col min="1" max="1" width="2.5703125" style="143" customWidth="1"/>
    <col min="2" max="2" width="6.5703125" style="142" customWidth="1"/>
    <col min="3" max="3" width="150.85546875" style="155" customWidth="1"/>
    <col min="4" max="4" width="40.5703125" style="143" customWidth="1"/>
    <col min="5" max="5" width="40.5703125" style="156" customWidth="1"/>
    <col min="6" max="6" width="2.5703125" style="143" customWidth="1"/>
    <col min="7" max="16384" width="5.5703125" style="143"/>
  </cols>
  <sheetData>
    <row r="1" spans="1:6" ht="15.75" customHeight="1" x14ac:dyDescent="0.25">
      <c r="A1" s="273"/>
      <c r="B1" s="267"/>
      <c r="C1" s="268"/>
      <c r="D1" s="269"/>
      <c r="E1" s="270"/>
      <c r="F1" s="273"/>
    </row>
    <row r="2" spans="1:6" ht="15.75" customHeight="1" x14ac:dyDescent="0.25">
      <c r="A2" s="273"/>
      <c r="B2" s="267"/>
      <c r="C2" s="271" t="s">
        <v>282</v>
      </c>
      <c r="D2" s="582"/>
      <c r="E2" s="582"/>
      <c r="F2" s="273"/>
    </row>
    <row r="3" spans="1:6" ht="15.75" customHeight="1" x14ac:dyDescent="0.25">
      <c r="A3" s="273"/>
      <c r="B3" s="267"/>
      <c r="C3" s="271"/>
      <c r="D3" s="269"/>
      <c r="E3" s="270"/>
      <c r="F3" s="273"/>
    </row>
    <row r="4" spans="1:6" ht="15.75" customHeight="1" x14ac:dyDescent="0.25">
      <c r="A4" s="273"/>
      <c r="B4" s="267"/>
      <c r="C4" s="271" t="s">
        <v>283</v>
      </c>
      <c r="D4" s="582"/>
      <c r="E4" s="582"/>
      <c r="F4" s="273"/>
    </row>
    <row r="5" spans="1:6" ht="15.75" customHeight="1" x14ac:dyDescent="0.25">
      <c r="A5" s="273"/>
      <c r="B5" s="267"/>
      <c r="C5" s="271"/>
      <c r="D5" s="269"/>
      <c r="E5" s="270"/>
      <c r="F5" s="273"/>
    </row>
    <row r="6" spans="1:6" ht="15.75" customHeight="1" x14ac:dyDescent="0.25">
      <c r="A6" s="273"/>
      <c r="B6" s="267"/>
      <c r="C6" s="271" t="s">
        <v>284</v>
      </c>
      <c r="D6" s="583">
        <f ca="1">NOW()</f>
        <v>46178.662026273145</v>
      </c>
      <c r="E6" s="583"/>
      <c r="F6" s="273"/>
    </row>
    <row r="7" spans="1:6" ht="15.75" customHeight="1" x14ac:dyDescent="0.25">
      <c r="A7" s="273"/>
      <c r="B7" s="267"/>
      <c r="C7" s="268"/>
      <c r="D7" s="269"/>
      <c r="E7" s="270"/>
      <c r="F7" s="273"/>
    </row>
    <row r="8" spans="1:6" ht="24.95" customHeight="1" x14ac:dyDescent="0.25">
      <c r="A8" s="273"/>
      <c r="B8" s="145" t="s">
        <v>285</v>
      </c>
      <c r="C8" s="145"/>
      <c r="D8" s="146"/>
      <c r="E8" s="147"/>
      <c r="F8" s="273"/>
    </row>
    <row r="9" spans="1:6" ht="15.75" customHeight="1" x14ac:dyDescent="0.25">
      <c r="A9" s="273"/>
      <c r="B9" s="267"/>
      <c r="C9" s="275"/>
      <c r="D9" s="273"/>
      <c r="E9" s="274"/>
      <c r="F9" s="273"/>
    </row>
    <row r="10" spans="1:6" x14ac:dyDescent="0.25">
      <c r="A10" s="273"/>
      <c r="B10" s="271">
        <v>1</v>
      </c>
      <c r="C10" s="276" t="s">
        <v>286</v>
      </c>
      <c r="D10" s="269"/>
      <c r="E10" s="391"/>
      <c r="F10" s="273"/>
    </row>
    <row r="11" spans="1:6" x14ac:dyDescent="0.25">
      <c r="A11" s="273"/>
      <c r="B11" s="271"/>
      <c r="C11" s="278"/>
      <c r="D11" s="269"/>
      <c r="E11" s="270"/>
      <c r="F11" s="273"/>
    </row>
    <row r="12" spans="1:6" x14ac:dyDescent="0.25">
      <c r="A12" s="273"/>
      <c r="B12" s="271">
        <v>2</v>
      </c>
      <c r="C12" s="276" t="s">
        <v>287</v>
      </c>
      <c r="D12" s="269"/>
      <c r="E12" s="391"/>
      <c r="F12" s="273"/>
    </row>
    <row r="13" spans="1:6" x14ac:dyDescent="0.25">
      <c r="A13" s="273"/>
      <c r="B13" s="271"/>
      <c r="C13" s="279"/>
      <c r="D13" s="269"/>
      <c r="E13" s="280"/>
      <c r="F13" s="273"/>
    </row>
    <row r="14" spans="1:6" x14ac:dyDescent="0.25">
      <c r="A14" s="273"/>
      <c r="B14" s="271">
        <v>3</v>
      </c>
      <c r="C14" s="276" t="s">
        <v>288</v>
      </c>
      <c r="D14" s="269"/>
      <c r="E14" s="392"/>
      <c r="F14" s="273"/>
    </row>
    <row r="15" spans="1:6" x14ac:dyDescent="0.25">
      <c r="A15" s="273"/>
      <c r="B15" s="271"/>
      <c r="C15" s="276"/>
      <c r="D15" s="269"/>
      <c r="E15" s="283"/>
      <c r="F15" s="273"/>
    </row>
    <row r="16" spans="1:6" x14ac:dyDescent="0.25">
      <c r="A16" s="273"/>
      <c r="B16" s="271">
        <v>4</v>
      </c>
      <c r="C16" s="276" t="s">
        <v>289</v>
      </c>
      <c r="D16" s="269"/>
      <c r="E16" s="391"/>
      <c r="F16" s="273"/>
    </row>
    <row r="17" spans="1:6" x14ac:dyDescent="0.25">
      <c r="A17" s="273"/>
      <c r="B17" s="271"/>
      <c r="C17" s="276"/>
      <c r="D17" s="269"/>
      <c r="E17" s="283"/>
      <c r="F17" s="273"/>
    </row>
    <row r="18" spans="1:6" x14ac:dyDescent="0.25">
      <c r="A18" s="273"/>
      <c r="B18" s="271">
        <v>5</v>
      </c>
      <c r="C18" s="276" t="s">
        <v>290</v>
      </c>
      <c r="D18" s="269"/>
      <c r="E18" s="391"/>
      <c r="F18" s="273"/>
    </row>
    <row r="19" spans="1:6" x14ac:dyDescent="0.2">
      <c r="A19" s="273"/>
      <c r="B19" s="280"/>
      <c r="C19" s="281" t="s">
        <v>291</v>
      </c>
      <c r="D19" s="269"/>
      <c r="E19" s="280"/>
      <c r="F19" s="273"/>
    </row>
    <row r="20" spans="1:6" x14ac:dyDescent="0.25">
      <c r="A20" s="273"/>
      <c r="B20" s="280"/>
      <c r="C20" s="282"/>
      <c r="D20" s="269"/>
      <c r="E20" s="283"/>
      <c r="F20" s="273"/>
    </row>
    <row r="21" spans="1:6" x14ac:dyDescent="0.25">
      <c r="A21" s="273"/>
      <c r="B21" s="280"/>
      <c r="C21" s="282"/>
      <c r="D21" s="269"/>
      <c r="E21" s="283"/>
      <c r="F21" s="273"/>
    </row>
    <row r="22" spans="1:6" ht="35.1" customHeight="1" x14ac:dyDescent="0.25">
      <c r="A22" s="273"/>
      <c r="B22" s="332">
        <v>6</v>
      </c>
      <c r="C22" s="333" t="s">
        <v>292</v>
      </c>
      <c r="D22" s="84" t="s">
        <v>293</v>
      </c>
      <c r="E22" s="87" t="s">
        <v>294</v>
      </c>
      <c r="F22" s="273"/>
    </row>
    <row r="23" spans="1:6" x14ac:dyDescent="0.25">
      <c r="A23" s="273"/>
      <c r="B23" s="271" t="s">
        <v>295</v>
      </c>
      <c r="C23" s="276" t="s">
        <v>296</v>
      </c>
      <c r="D23" s="269"/>
      <c r="E23" s="270"/>
      <c r="F23" s="273"/>
    </row>
    <row r="24" spans="1:6" s="144" customFormat="1" ht="16.5" hidden="1" x14ac:dyDescent="0.25">
      <c r="A24" s="273"/>
      <c r="B24" s="280"/>
      <c r="C24" s="268" t="s">
        <v>297</v>
      </c>
      <c r="D24" s="334"/>
      <c r="E24" s="335"/>
      <c r="F24" s="273"/>
    </row>
    <row r="25" spans="1:6" s="144" customFormat="1" ht="16.5" hidden="1" x14ac:dyDescent="0.25">
      <c r="A25" s="273"/>
      <c r="B25" s="280"/>
      <c r="C25" s="268" t="s">
        <v>298</v>
      </c>
      <c r="D25" s="334"/>
      <c r="E25" s="334"/>
      <c r="F25" s="273"/>
    </row>
    <row r="26" spans="1:6" s="144" customFormat="1" ht="16.5" hidden="1" x14ac:dyDescent="0.25">
      <c r="A26" s="273"/>
      <c r="B26" s="280"/>
      <c r="C26" s="268" t="s">
        <v>299</v>
      </c>
      <c r="D26" s="334"/>
      <c r="E26" s="334"/>
      <c r="F26" s="273"/>
    </row>
    <row r="27" spans="1:6" x14ac:dyDescent="0.25">
      <c r="A27" s="273"/>
      <c r="B27" s="280"/>
      <c r="C27" s="268" t="s">
        <v>300</v>
      </c>
      <c r="D27" s="336"/>
      <c r="E27" s="353"/>
      <c r="F27" s="273"/>
    </row>
    <row r="28" spans="1:6" x14ac:dyDescent="0.25">
      <c r="A28" s="273"/>
      <c r="B28" s="280"/>
      <c r="C28" s="268" t="s">
        <v>301</v>
      </c>
      <c r="D28" s="336"/>
      <c r="E28" s="353"/>
      <c r="F28" s="273"/>
    </row>
    <row r="29" spans="1:6" s="144" customFormat="1" hidden="1" x14ac:dyDescent="0.25">
      <c r="A29" s="273"/>
      <c r="B29" s="280"/>
      <c r="C29" s="268" t="s">
        <v>302</v>
      </c>
      <c r="D29" s="334"/>
      <c r="E29" s="334"/>
      <c r="F29" s="273"/>
    </row>
    <row r="30" spans="1:6" s="144" customFormat="1" hidden="1" x14ac:dyDescent="0.25">
      <c r="A30" s="273"/>
      <c r="B30" s="280"/>
      <c r="C30" s="268" t="s">
        <v>303</v>
      </c>
      <c r="D30" s="334"/>
      <c r="E30" s="334"/>
      <c r="F30" s="273"/>
    </row>
    <row r="31" spans="1:6" s="144" customFormat="1" hidden="1" x14ac:dyDescent="0.25">
      <c r="A31" s="273"/>
      <c r="B31" s="280"/>
      <c r="C31" s="268" t="s">
        <v>304</v>
      </c>
      <c r="D31" s="334"/>
      <c r="E31" s="334"/>
      <c r="F31" s="273"/>
    </row>
    <row r="32" spans="1:6" s="144" customFormat="1" hidden="1" x14ac:dyDescent="0.25">
      <c r="A32" s="273"/>
      <c r="B32" s="280"/>
      <c r="C32" s="268" t="s">
        <v>305</v>
      </c>
      <c r="D32" s="334"/>
      <c r="E32" s="334"/>
      <c r="F32" s="273"/>
    </row>
    <row r="33" spans="1:6" s="144" customFormat="1" hidden="1" x14ac:dyDescent="0.25">
      <c r="A33" s="273"/>
      <c r="B33" s="280"/>
      <c r="C33" s="268" t="s">
        <v>306</v>
      </c>
      <c r="D33" s="334"/>
      <c r="E33" s="334"/>
      <c r="F33" s="273"/>
    </row>
    <row r="34" spans="1:6" s="144" customFormat="1" hidden="1" x14ac:dyDescent="0.25">
      <c r="A34" s="273"/>
      <c r="B34" s="280"/>
      <c r="C34" s="268" t="s">
        <v>307</v>
      </c>
      <c r="D34" s="334"/>
      <c r="E34" s="334"/>
      <c r="F34" s="273"/>
    </row>
    <row r="35" spans="1:6" s="144" customFormat="1" hidden="1" x14ac:dyDescent="0.25">
      <c r="A35" s="273"/>
      <c r="B35" s="280"/>
      <c r="C35" s="268" t="s">
        <v>308</v>
      </c>
      <c r="D35" s="334"/>
      <c r="E35" s="334"/>
      <c r="F35" s="273"/>
    </row>
    <row r="36" spans="1:6" s="144" customFormat="1" hidden="1" x14ac:dyDescent="0.25">
      <c r="A36" s="273"/>
      <c r="B36" s="280"/>
      <c r="C36" s="268" t="s">
        <v>309</v>
      </c>
      <c r="D36" s="334"/>
      <c r="E36" s="337"/>
      <c r="F36" s="273"/>
    </row>
    <row r="37" spans="1:6" x14ac:dyDescent="0.25">
      <c r="A37" s="273"/>
      <c r="B37" s="280"/>
      <c r="C37" s="268"/>
      <c r="D37" s="269"/>
      <c r="E37" s="270"/>
      <c r="F37" s="273"/>
    </row>
    <row r="38" spans="1:6" x14ac:dyDescent="0.25">
      <c r="A38" s="273"/>
      <c r="B38" s="271" t="s">
        <v>310</v>
      </c>
      <c r="C38" s="338" t="s">
        <v>311</v>
      </c>
      <c r="D38" s="339"/>
      <c r="E38" s="339"/>
      <c r="F38" s="273"/>
    </row>
    <row r="39" spans="1:6" ht="16.5" x14ac:dyDescent="0.25">
      <c r="A39" s="273"/>
      <c r="B39" s="280"/>
      <c r="C39" s="286" t="s">
        <v>312</v>
      </c>
      <c r="D39" s="87" t="s">
        <v>313</v>
      </c>
      <c r="E39" s="87" t="s">
        <v>313</v>
      </c>
      <c r="F39" s="273"/>
    </row>
    <row r="40" spans="1:6" x14ac:dyDescent="0.25">
      <c r="A40" s="273"/>
      <c r="B40" s="280"/>
      <c r="C40" s="287" t="s">
        <v>314</v>
      </c>
      <c r="D40" s="340"/>
      <c r="E40" s="340"/>
      <c r="F40" s="273"/>
    </row>
    <row r="41" spans="1:6" x14ac:dyDescent="0.25">
      <c r="A41" s="273"/>
      <c r="B41" s="280"/>
      <c r="C41" s="287" t="s">
        <v>315</v>
      </c>
      <c r="D41" s="340"/>
      <c r="E41" s="340"/>
      <c r="F41" s="273"/>
    </row>
    <row r="42" spans="1:6" x14ac:dyDescent="0.25">
      <c r="A42" s="273"/>
      <c r="B42" s="280"/>
      <c r="C42" s="287" t="s">
        <v>316</v>
      </c>
      <c r="D42" s="340"/>
      <c r="E42" s="340"/>
      <c r="F42" s="273"/>
    </row>
    <row r="43" spans="1:6" x14ac:dyDescent="0.25">
      <c r="A43" s="273"/>
      <c r="B43" s="280"/>
      <c r="C43" s="287" t="s">
        <v>317</v>
      </c>
      <c r="D43" s="340"/>
      <c r="E43" s="340"/>
      <c r="F43" s="273"/>
    </row>
    <row r="44" spans="1:6" x14ac:dyDescent="0.25">
      <c r="A44" s="273"/>
      <c r="B44" s="280"/>
      <c r="C44" s="287" t="s">
        <v>318</v>
      </c>
      <c r="D44" s="340"/>
      <c r="E44" s="340"/>
      <c r="F44" s="273"/>
    </row>
    <row r="45" spans="1:6" x14ac:dyDescent="0.25">
      <c r="A45" s="273"/>
      <c r="B45" s="280"/>
      <c r="C45" s="286" t="s">
        <v>319</v>
      </c>
      <c r="D45" s="341"/>
      <c r="E45" s="270"/>
      <c r="F45" s="273"/>
    </row>
    <row r="46" spans="1:6" x14ac:dyDescent="0.25">
      <c r="A46" s="273"/>
      <c r="B46" s="280"/>
      <c r="C46" s="287" t="s">
        <v>320</v>
      </c>
      <c r="D46" s="340"/>
      <c r="E46" s="340"/>
      <c r="F46" s="273"/>
    </row>
    <row r="47" spans="1:6" x14ac:dyDescent="0.25">
      <c r="A47" s="273"/>
      <c r="B47" s="280"/>
      <c r="C47" s="287" t="s">
        <v>321</v>
      </c>
      <c r="D47" s="340"/>
      <c r="E47" s="340"/>
      <c r="F47" s="273"/>
    </row>
    <row r="48" spans="1:6" x14ac:dyDescent="0.25">
      <c r="A48" s="273"/>
      <c r="B48" s="280"/>
      <c r="C48" s="287" t="s">
        <v>322</v>
      </c>
      <c r="D48" s="340"/>
      <c r="E48" s="340"/>
      <c r="F48" s="273"/>
    </row>
    <row r="49" spans="1:6" x14ac:dyDescent="0.25">
      <c r="A49" s="273"/>
      <c r="B49" s="280"/>
      <c r="C49" s="287" t="s">
        <v>323</v>
      </c>
      <c r="D49" s="340"/>
      <c r="E49" s="340"/>
      <c r="F49" s="273"/>
    </row>
    <row r="50" spans="1:6" x14ac:dyDescent="0.25">
      <c r="A50" s="273"/>
      <c r="B50" s="280"/>
      <c r="C50" s="287" t="s">
        <v>318</v>
      </c>
      <c r="D50" s="340"/>
      <c r="E50" s="340"/>
      <c r="F50" s="273"/>
    </row>
    <row r="51" spans="1:6" x14ac:dyDescent="0.25">
      <c r="A51" s="273"/>
      <c r="B51" s="280"/>
      <c r="C51" s="286" t="s">
        <v>324</v>
      </c>
      <c r="D51" s="341"/>
      <c r="E51" s="270"/>
      <c r="F51" s="273"/>
    </row>
    <row r="52" spans="1:6" x14ac:dyDescent="0.25">
      <c r="A52" s="273"/>
      <c r="B52" s="280"/>
      <c r="C52" s="287" t="s">
        <v>325</v>
      </c>
      <c r="D52" s="340"/>
      <c r="E52" s="340"/>
      <c r="F52" s="273"/>
    </row>
    <row r="53" spans="1:6" x14ac:dyDescent="0.25">
      <c r="A53" s="273"/>
      <c r="B53" s="280"/>
      <c r="C53" s="287" t="s">
        <v>326</v>
      </c>
      <c r="D53" s="340"/>
      <c r="E53" s="340"/>
      <c r="F53" s="273"/>
    </row>
    <row r="54" spans="1:6" x14ac:dyDescent="0.25">
      <c r="A54" s="273"/>
      <c r="B54" s="280"/>
      <c r="C54" s="287" t="s">
        <v>327</v>
      </c>
      <c r="D54" s="340"/>
      <c r="E54" s="340"/>
      <c r="F54" s="273"/>
    </row>
    <row r="55" spans="1:6" x14ac:dyDescent="0.25">
      <c r="A55" s="273"/>
      <c r="B55" s="280"/>
      <c r="C55" s="287" t="s">
        <v>328</v>
      </c>
      <c r="D55" s="340"/>
      <c r="E55" s="340"/>
      <c r="F55" s="273"/>
    </row>
    <row r="56" spans="1:6" x14ac:dyDescent="0.25">
      <c r="A56" s="273"/>
      <c r="B56" s="280"/>
      <c r="C56" s="287" t="s">
        <v>329</v>
      </c>
      <c r="D56" s="340"/>
      <c r="E56" s="340"/>
      <c r="F56" s="273"/>
    </row>
    <row r="57" spans="1:6" x14ac:dyDescent="0.25">
      <c r="A57" s="273"/>
      <c r="B57" s="280"/>
      <c r="C57" s="287" t="s">
        <v>330</v>
      </c>
      <c r="D57" s="340"/>
      <c r="E57" s="340"/>
      <c r="F57" s="273"/>
    </row>
    <row r="58" spans="1:6" x14ac:dyDescent="0.25">
      <c r="A58" s="273"/>
      <c r="B58" s="280"/>
      <c r="C58" s="287" t="s">
        <v>318</v>
      </c>
      <c r="D58" s="340"/>
      <c r="E58" s="340"/>
      <c r="F58" s="273"/>
    </row>
    <row r="59" spans="1:6" x14ac:dyDescent="0.25">
      <c r="A59" s="273"/>
      <c r="B59" s="280"/>
      <c r="C59" s="286" t="s">
        <v>330</v>
      </c>
      <c r="D59" s="341"/>
      <c r="E59" s="270"/>
      <c r="F59" s="273"/>
    </row>
    <row r="60" spans="1:6" x14ac:dyDescent="0.25">
      <c r="A60" s="273"/>
      <c r="B60" s="280"/>
      <c r="C60" s="287" t="s">
        <v>331</v>
      </c>
      <c r="D60" s="340"/>
      <c r="E60" s="340"/>
      <c r="F60" s="273"/>
    </row>
    <row r="61" spans="1:6" x14ac:dyDescent="0.25">
      <c r="A61" s="273"/>
      <c r="B61" s="280"/>
      <c r="C61" s="287" t="s">
        <v>332</v>
      </c>
      <c r="D61" s="340"/>
      <c r="E61" s="340"/>
      <c r="F61" s="273"/>
    </row>
    <row r="62" spans="1:6" x14ac:dyDescent="0.25">
      <c r="A62" s="273"/>
      <c r="B62" s="280"/>
      <c r="C62" s="287" t="s">
        <v>333</v>
      </c>
      <c r="D62" s="340"/>
      <c r="E62" s="340"/>
      <c r="F62" s="273"/>
    </row>
    <row r="63" spans="1:6" x14ac:dyDescent="0.25">
      <c r="A63" s="273"/>
      <c r="B63" s="280"/>
      <c r="C63" s="287" t="s">
        <v>334</v>
      </c>
      <c r="D63" s="340"/>
      <c r="E63" s="340"/>
      <c r="F63" s="273"/>
    </row>
    <row r="64" spans="1:6" x14ac:dyDescent="0.25">
      <c r="A64" s="273"/>
      <c r="B64" s="280"/>
      <c r="C64" s="287" t="s">
        <v>335</v>
      </c>
      <c r="D64" s="340"/>
      <c r="E64" s="340"/>
      <c r="F64" s="273"/>
    </row>
    <row r="65" spans="1:6" x14ac:dyDescent="0.25">
      <c r="A65" s="273"/>
      <c r="B65" s="280"/>
      <c r="C65" s="287" t="s">
        <v>336</v>
      </c>
      <c r="D65" s="340"/>
      <c r="E65" s="340"/>
      <c r="F65" s="273"/>
    </row>
    <row r="66" spans="1:6" x14ac:dyDescent="0.25">
      <c r="A66" s="273"/>
      <c r="B66" s="280"/>
      <c r="C66" s="287" t="s">
        <v>337</v>
      </c>
      <c r="D66" s="340"/>
      <c r="E66" s="340"/>
      <c r="F66" s="273"/>
    </row>
    <row r="67" spans="1:6" x14ac:dyDescent="0.25">
      <c r="A67" s="273"/>
      <c r="B67" s="280"/>
      <c r="C67" s="287" t="s">
        <v>338</v>
      </c>
      <c r="D67" s="340"/>
      <c r="E67" s="340"/>
      <c r="F67" s="273"/>
    </row>
    <row r="68" spans="1:6" x14ac:dyDescent="0.25">
      <c r="A68" s="273"/>
      <c r="B68" s="280"/>
      <c r="C68" s="287" t="s">
        <v>318</v>
      </c>
      <c r="D68" s="340"/>
      <c r="E68" s="340"/>
      <c r="F68" s="273"/>
    </row>
    <row r="69" spans="1:6" x14ac:dyDescent="0.25">
      <c r="A69" s="273"/>
      <c r="B69" s="280"/>
      <c r="C69" s="286" t="s">
        <v>339</v>
      </c>
      <c r="D69" s="340"/>
      <c r="E69" s="340"/>
      <c r="F69" s="273"/>
    </row>
    <row r="70" spans="1:6" x14ac:dyDescent="0.25">
      <c r="A70" s="273"/>
      <c r="B70" s="280"/>
      <c r="C70" s="286" t="s">
        <v>340</v>
      </c>
      <c r="D70" s="340"/>
      <c r="E70" s="340"/>
      <c r="F70" s="273"/>
    </row>
    <row r="71" spans="1:6" x14ac:dyDescent="0.25">
      <c r="A71" s="273"/>
      <c r="B71" s="280"/>
      <c r="C71" s="286" t="s">
        <v>341</v>
      </c>
      <c r="D71" s="340"/>
      <c r="E71" s="340"/>
      <c r="F71" s="273"/>
    </row>
    <row r="72" spans="1:6" x14ac:dyDescent="0.25">
      <c r="A72" s="273"/>
      <c r="B72" s="280"/>
      <c r="C72" s="269"/>
      <c r="D72" s="288"/>
      <c r="E72" s="270"/>
      <c r="F72" s="273"/>
    </row>
    <row r="73" spans="1:6" x14ac:dyDescent="0.25">
      <c r="A73" s="273"/>
      <c r="B73" s="280"/>
      <c r="C73" s="282" t="s">
        <v>95</v>
      </c>
      <c r="D73" s="289">
        <f>SUM(D40:D44,D46:D50,D52:D58,D60:D71)</f>
        <v>0</v>
      </c>
      <c r="E73" s="289">
        <f>SUM(E40:E44,E46:E50,E52:E58,E60:E71)</f>
        <v>0</v>
      </c>
      <c r="F73" s="273"/>
    </row>
    <row r="74" spans="1:6" x14ac:dyDescent="0.25">
      <c r="A74" s="273"/>
      <c r="B74" s="280"/>
      <c r="C74" s="282"/>
      <c r="D74" s="341"/>
      <c r="E74" s="341"/>
      <c r="F74" s="273"/>
    </row>
    <row r="75" spans="1:6" x14ac:dyDescent="0.25">
      <c r="A75" s="273"/>
      <c r="B75" s="280"/>
      <c r="C75" s="268"/>
      <c r="D75" s="269"/>
      <c r="E75" s="270"/>
      <c r="F75" s="273"/>
    </row>
    <row r="76" spans="1:6" s="148" customFormat="1" x14ac:dyDescent="0.25">
      <c r="A76" s="342"/>
      <c r="B76" s="284">
        <v>7</v>
      </c>
      <c r="C76" s="285" t="s">
        <v>342</v>
      </c>
      <c r="D76" s="342"/>
      <c r="E76" s="343"/>
      <c r="F76" s="342"/>
    </row>
    <row r="77" spans="1:6" s="148" customFormat="1" x14ac:dyDescent="0.25">
      <c r="A77" s="342"/>
      <c r="B77" s="344"/>
      <c r="C77" s="308"/>
      <c r="D77" s="309"/>
      <c r="E77" s="345"/>
      <c r="F77" s="342"/>
    </row>
    <row r="78" spans="1:6" x14ac:dyDescent="0.25">
      <c r="A78" s="273"/>
      <c r="B78" s="271" t="s">
        <v>343</v>
      </c>
      <c r="C78" s="276" t="s">
        <v>344</v>
      </c>
      <c r="D78" s="269"/>
      <c r="E78" s="277"/>
      <c r="F78" s="273"/>
    </row>
    <row r="79" spans="1:6" x14ac:dyDescent="0.25">
      <c r="A79" s="273"/>
      <c r="B79" s="280"/>
      <c r="C79" s="269"/>
      <c r="D79" s="269"/>
      <c r="E79" s="270"/>
      <c r="F79" s="273"/>
    </row>
    <row r="80" spans="1:6" x14ac:dyDescent="0.25">
      <c r="A80" s="273"/>
      <c r="B80" s="271" t="s">
        <v>345</v>
      </c>
      <c r="C80" s="346" t="s">
        <v>346</v>
      </c>
      <c r="D80" s="269"/>
      <c r="E80" s="87" t="s">
        <v>347</v>
      </c>
      <c r="F80" s="273"/>
    </row>
    <row r="81" spans="1:6" x14ac:dyDescent="0.25">
      <c r="A81" s="273"/>
      <c r="B81" s="280"/>
      <c r="C81" s="269" t="s">
        <v>348</v>
      </c>
      <c r="D81" s="269"/>
      <c r="E81" s="354"/>
      <c r="F81" s="273"/>
    </row>
    <row r="82" spans="1:6" x14ac:dyDescent="0.25">
      <c r="A82" s="273"/>
      <c r="B82" s="280"/>
      <c r="C82" s="269" t="s">
        <v>349</v>
      </c>
      <c r="D82" s="269"/>
      <c r="E82" s="354"/>
      <c r="F82" s="273"/>
    </row>
    <row r="83" spans="1:6" x14ac:dyDescent="0.25">
      <c r="A83" s="273"/>
      <c r="B83" s="280"/>
      <c r="C83" s="269" t="s">
        <v>350</v>
      </c>
      <c r="D83" s="269"/>
      <c r="E83" s="354"/>
      <c r="F83" s="273"/>
    </row>
    <row r="84" spans="1:6" x14ac:dyDescent="0.25">
      <c r="A84" s="273"/>
      <c r="B84" s="280"/>
      <c r="C84" s="269"/>
      <c r="D84" s="269"/>
      <c r="E84" s="270"/>
      <c r="F84" s="273"/>
    </row>
    <row r="85" spans="1:6" x14ac:dyDescent="0.25">
      <c r="A85" s="273"/>
      <c r="B85" s="280"/>
      <c r="C85" s="269"/>
      <c r="D85" s="269"/>
      <c r="E85" s="270"/>
      <c r="F85" s="273"/>
    </row>
    <row r="86" spans="1:6" s="148" customFormat="1" x14ac:dyDescent="0.25">
      <c r="A86" s="342"/>
      <c r="B86" s="284">
        <v>8</v>
      </c>
      <c r="C86" s="285" t="s">
        <v>351</v>
      </c>
      <c r="D86" s="342"/>
      <c r="E86" s="343"/>
      <c r="F86" s="342"/>
    </row>
    <row r="87" spans="1:6" x14ac:dyDescent="0.25">
      <c r="A87" s="273"/>
      <c r="B87" s="280"/>
      <c r="C87" s="269"/>
      <c r="D87" s="269"/>
      <c r="E87" s="270"/>
      <c r="F87" s="273"/>
    </row>
    <row r="88" spans="1:6" x14ac:dyDescent="0.25">
      <c r="A88" s="273"/>
      <c r="B88" s="271" t="s">
        <v>352</v>
      </c>
      <c r="C88" s="276" t="s">
        <v>353</v>
      </c>
      <c r="D88" s="269"/>
      <c r="E88" s="277"/>
      <c r="F88" s="273"/>
    </row>
    <row r="89" spans="1:6" x14ac:dyDescent="0.25">
      <c r="A89" s="273"/>
      <c r="B89" s="271"/>
      <c r="C89" s="279"/>
      <c r="D89" s="269"/>
      <c r="E89" s="270"/>
      <c r="F89" s="273"/>
    </row>
    <row r="90" spans="1:6" x14ac:dyDescent="0.25">
      <c r="A90" s="273"/>
      <c r="B90" s="271" t="s">
        <v>354</v>
      </c>
      <c r="C90" s="276" t="s">
        <v>355</v>
      </c>
      <c r="D90" s="269"/>
      <c r="E90" s="355"/>
      <c r="F90" s="273"/>
    </row>
    <row r="91" spans="1:6" x14ac:dyDescent="0.25">
      <c r="A91" s="273"/>
      <c r="B91" s="286"/>
      <c r="C91" s="269"/>
      <c r="D91" s="269"/>
      <c r="E91" s="280"/>
      <c r="F91" s="273"/>
    </row>
    <row r="92" spans="1:6" ht="15.75" customHeight="1" x14ac:dyDescent="0.25">
      <c r="A92" s="273"/>
      <c r="B92" s="286"/>
      <c r="C92" s="273"/>
      <c r="D92" s="273"/>
      <c r="E92" s="348"/>
      <c r="F92" s="273"/>
    </row>
    <row r="93" spans="1:6" s="151" customFormat="1" ht="24.95" customHeight="1" x14ac:dyDescent="0.25">
      <c r="A93" s="291"/>
      <c r="B93" s="145" t="s">
        <v>356</v>
      </c>
      <c r="C93" s="149"/>
      <c r="D93" s="150"/>
      <c r="E93" s="157"/>
      <c r="F93" s="291"/>
    </row>
    <row r="94" spans="1:6" s="151" customFormat="1" ht="15.95" customHeight="1" x14ac:dyDescent="0.25">
      <c r="A94" s="291"/>
      <c r="B94" s="272"/>
      <c r="C94" s="291"/>
      <c r="D94" s="292"/>
      <c r="E94" s="293"/>
      <c r="F94" s="291"/>
    </row>
    <row r="95" spans="1:6" s="152" customFormat="1" ht="45" customHeight="1" x14ac:dyDescent="0.25">
      <c r="A95" s="323"/>
      <c r="B95" s="294" t="s">
        <v>357</v>
      </c>
      <c r="C95" s="295" t="s">
        <v>91</v>
      </c>
      <c r="D95" s="296" t="s">
        <v>358</v>
      </c>
      <c r="E95" s="297" t="str">
        <f>IF(SUM(E98:E105)&gt;0,SUM(E98:E105),IF(AND(E98="Não se aplica",E99="Não se aplica",E100="Não se aplica",E101="Não se aplica",E102="Não se aplica",E103="Não se aplica",E104="Não se aplica",E105="Não se aplica"),"Não se aplica","Para simular a taxa aplicável, deve preencher os campos do formulário de acordo com a operação urbanística"))</f>
        <v>Para simular a taxa aplicável, deve preencher os campos do formulário de acordo com a operação urbanística</v>
      </c>
      <c r="F95" s="323"/>
    </row>
    <row r="96" spans="1:6" s="152" customFormat="1" x14ac:dyDescent="0.25">
      <c r="A96" s="323"/>
      <c r="B96" s="267"/>
      <c r="C96" s="298" t="s">
        <v>359</v>
      </c>
      <c r="D96" s="299"/>
      <c r="E96" s="300"/>
      <c r="F96" s="323"/>
    </row>
    <row r="97" spans="1:6" s="152" customFormat="1" x14ac:dyDescent="0.25">
      <c r="A97" s="323"/>
      <c r="B97" s="267"/>
      <c r="C97" s="298"/>
      <c r="D97" s="299"/>
      <c r="E97" s="300"/>
      <c r="F97" s="323"/>
    </row>
    <row r="98" spans="1:6" s="154" customFormat="1" ht="65.099999999999994" customHeight="1" x14ac:dyDescent="0.25">
      <c r="A98" s="324"/>
      <c r="B98" s="301" t="s">
        <v>360</v>
      </c>
      <c r="C98" s="302" t="s">
        <v>361</v>
      </c>
      <c r="D98" s="298" t="s">
        <v>362</v>
      </c>
      <c r="E98" s="303" t="str">
        <f>IF(E10=""," Preencher 1",IF(AND(E10="Sim",E12=""),"Preencher 2",IF(AND(E10="Sim",E12&lt;&gt;"Demolição",E14=""),"Preencher 3",IF(AND(E10="Sim",E12&lt;&gt;"Demolição",E14&lt;&gt;0,SUM(D73:E73)=0),"Preencher 6.2",IF(AND(E10="Sim",E12&lt;&gt;"Demolição",E14&lt;&gt;0,SUM(D73:E73)&gt;0),'SIMULADOR_TAXAS ADMINISTRATIVAS'!D69,IF(AND(E10="Sim",E12="Demolição"),"Não se aplica",IF(E10="Não","Não se aplica")))))))</f>
        <v xml:space="preserve"> Preencher 1</v>
      </c>
      <c r="F98" s="303"/>
    </row>
    <row r="99" spans="1:6" s="154" customFormat="1" ht="15.75" customHeight="1" x14ac:dyDescent="0.25">
      <c r="A99" s="324"/>
      <c r="B99" s="301" t="s">
        <v>363</v>
      </c>
      <c r="C99" s="304" t="s">
        <v>177</v>
      </c>
      <c r="D99" s="298" t="s">
        <v>364</v>
      </c>
      <c r="E99" s="303" t="str">
        <f>IF(E10="","Preencher 1",IF(AND(E10="Sim",E12=""),"Preencher 2",IF(AND(E10="Sim",E12="Demolição",E14=""),"Preencher 3",IF(AND(E10="Sim",E12="Demolição",E14=""),"Preencher 3",IF(AND(E10="Sim",E12="Demolição",E14&gt;0,E90=""),"Preencher 8.2",IF(AND(E10="Sim",E12="Demolição",E14&gt;0,E90&gt;0),'SIMULADOR_TAXAS ADMINISTRATIVAS'!D67,IF(AND(E10="Sim",E12&lt;&gt;"Demolição",E88=""),"Preencher 8.1",IF(AND(E10="Sim",E12&lt;&gt;"Demolição",E88="Não"),"Não se aplica",IF(AND(E10="Sim",E12&lt;&gt;"Demolição",E88="Sim",E90=""),"Preencher 8.2",IF(AND(E10="Sim",E12&lt;&gt;"Demolição",E88="Sim",E90&gt;0),'SIMULADOR_TAXAS ADMINISTRATIVAS'!E67,IF(E10="Não","Não se aplica")))))))))))</f>
        <v>Preencher 1</v>
      </c>
      <c r="F99" s="324"/>
    </row>
    <row r="100" spans="1:6" s="154" customFormat="1" ht="15.95" customHeight="1" x14ac:dyDescent="0.25">
      <c r="A100" s="324"/>
      <c r="B100" s="301" t="s">
        <v>365</v>
      </c>
      <c r="C100" s="304" t="s">
        <v>366</v>
      </c>
      <c r="D100" s="298" t="s">
        <v>367</v>
      </c>
      <c r="E100" s="303" t="str">
        <f>IF(E10="","Preencher 1",IF(AND(E10="Sim",E12=""),"Preencher 2",IF(AND(E10="Sim",E12&lt;&gt;"Demolição",E14=""),"Preencher 3",IF(AND(E10="Sim",E12="Demolição"),"Não se aplica",IF(AND(E10="Sim",E27=""),"Preencher 6.1",IF(AND(E10="Sim",E27=0),"Não se aplica",IF(AND(E10="Sim",E27&gt;0),'SIMULADOR_TAXAS ADMINISTRATIVAS'!D81,IF(E10="Não","Não se aplica"))))))))</f>
        <v>Preencher 1</v>
      </c>
      <c r="F100" s="324"/>
    </row>
    <row r="101" spans="1:6" s="154" customFormat="1" ht="15.95" customHeight="1" x14ac:dyDescent="0.25">
      <c r="A101" s="324"/>
      <c r="B101" s="301" t="s">
        <v>368</v>
      </c>
      <c r="C101" s="304" t="s">
        <v>369</v>
      </c>
      <c r="D101" s="298" t="s">
        <v>370</v>
      </c>
      <c r="E101" s="303" t="str">
        <f>IF(E10="","Preencher 1",IF(AND(E10="Sim",E12=""),"Preencher 2",IF(AND(E10="Sim",E12&lt;&gt;"Demolição",E14=""),"Preencher 3",IF(AND(E10="Sim",E12="Demolição"),"Não se aplica",IF(AND(E10="Sim",E28=""),"Preencher 6.1",IF(AND(E10="Sim",E28=0),"Não se aplica",IF(AND(E10="Sim",E28&gt;0,E73&gt;0),'SIMULADOR_TAXAS ADMINISTRATIVAS'!E76,IF(AND(E10="Sim",E28&gt;0,E73=0),'SIMULADOR_TAXAS ADMINISTRATIVAS'!D76,IF(E10="Não","Não se aplica")))))))))</f>
        <v>Preencher 1</v>
      </c>
      <c r="F101" s="324"/>
    </row>
    <row r="102" spans="1:6" s="154" customFormat="1" ht="15.95" customHeight="1" x14ac:dyDescent="0.25">
      <c r="A102" s="324"/>
      <c r="B102" s="301" t="s">
        <v>371</v>
      </c>
      <c r="C102" s="302" t="s">
        <v>201</v>
      </c>
      <c r="D102" s="298" t="s">
        <v>372</v>
      </c>
      <c r="E102" s="303" t="str">
        <f>IF(E10="","Preencher 1",
IF(AND(E10="Sim",E12=""),"Preencher 2",
IF(AND(E10="Sim",E12&lt;&gt;"Demolição",E14=""),"Preencher 3",
IF(AND(E10="Sim",E12="Demolição"),"Não se aplica",
IF(AND(E10="Sim",E78=""),"Preencher 7.1",
IF(AND(E10="Sim",E78="Sim",E81=""),"Preencher 7.2",
IF(AND(E10="Sim",E78="Sim",E81=0),"Não se aplica",
IF(AND(E10="Sim",E78="Sim",E81&gt;0,E73&gt;0),'SIMULADOR_TAXAS ADMINISTRATIVAS'!E77,
IF(AND(E10="Sim",E78="Sim",E81&gt;0,E73=0),'SIMULADOR_TAXAS ADMINISTRATIVAS'!D77,
IF(AND(E10="Sim",E78="Não"),"Não se aplica",
IF(E10="Não","Não se aplica")))))))))))</f>
        <v>Preencher 1</v>
      </c>
      <c r="F102" s="324"/>
    </row>
    <row r="103" spans="1:6" s="154" customFormat="1" ht="15.95" customHeight="1" x14ac:dyDescent="0.25">
      <c r="A103" s="324"/>
      <c r="B103" s="301" t="s">
        <v>373</v>
      </c>
      <c r="C103" s="302" t="s">
        <v>204</v>
      </c>
      <c r="D103" s="298" t="s">
        <v>372</v>
      </c>
      <c r="E103" s="303" t="str">
        <f>IF(E10="","Preencher 1",
IF(AND(E10="Sim",E12=""),"Preencher 2",
IF(AND(E10="Sim",E12&lt;&gt;"Demolição",E14=""),"Preencher 3",
IF(AND(E10="Sim",E12="Demolição"),"Não se aplica",
IF(AND(E10="Sim",E78=""),"Preencher 7.1",
IF(AND(E10="Sim",E78="Sim",E82=""),"Preencher 7.2",
IF(AND(E10="Sim",E78="Sim",E82=0),"Não se aplica",
IF(AND(E10="Sim",E78="Sim",E82&gt;0,OR(E73&gt;0,E81&gt;0)),'SIMULADOR_TAXAS ADMINISTRATIVAS'!E78,
IF(AND(E10="Sim",E78="Sim",E82&gt;0,OR(E73=0,E81="",E81=0)),'SIMULADOR_TAXAS ADMINISTRATIVAS'!D78,
IF(AND(E10="Sim",E78="Não"),"Não se aplica",
IF(E10="Não","Não se aplica")))))))))))</f>
        <v>Preencher 1</v>
      </c>
      <c r="F103" s="324"/>
    </row>
    <row r="104" spans="1:6" s="154" customFormat="1" ht="15.95" customHeight="1" x14ac:dyDescent="0.25">
      <c r="A104" s="324"/>
      <c r="B104" s="301" t="s">
        <v>374</v>
      </c>
      <c r="C104" s="302" t="s">
        <v>207</v>
      </c>
      <c r="D104" s="298" t="s">
        <v>372</v>
      </c>
      <c r="E104" s="303" t="str">
        <f>IF(E10="","Preencher 1",
IF(AND(E10="Sim",E12=""),"Preencher 2",
IF(AND(E10="Sim",E12&lt;&gt;"Demolição",E14=""),"Preencher 3",
IF(AND(E10="Sim",E12="Demolição"),"Não se aplica",
IF(AND(E10="Sim",E78=""),"Preencher 7.1",
IF(AND(E10="Sim",E78="Sim",E83=""),"Preencher 7.2",
IF(AND(E10="Sim",E78="Sim",E83=0),"Não se aplica",
IF(AND(E10="Sim",E78="Sim",E83&gt;0,OR(E73&gt;0,E81&gt;0,E82&gt;0)),'SIMULADOR_TAXAS ADMINISTRATIVAS'!E79,
IF(AND(E10="Sim",E78="Sim",E83&gt;0,OR(E73=0,E81="",E81=0,E82="",E82=0)),'SIMULADOR_TAXAS ADMINISTRATIVAS'!D79,
IF(AND(E10="Sim",E78="Não"),"Não se aplica",
IF(E10="Não","Não se aplica")))))))))))</f>
        <v>Preencher 1</v>
      </c>
      <c r="F104" s="324"/>
    </row>
    <row r="105" spans="1:6" s="154" customFormat="1" ht="15.95" customHeight="1" x14ac:dyDescent="0.25">
      <c r="A105" s="324"/>
      <c r="B105" s="301" t="s">
        <v>375</v>
      </c>
      <c r="C105" s="304" t="s">
        <v>111</v>
      </c>
      <c r="D105" s="298" t="s">
        <v>376</v>
      </c>
      <c r="E105" s="303" t="str">
        <f>IF(E10="","Preencher 1",IF(AND(E10="Sim",E12="Demolição"),"Não se aplica",IF(AND(E10="Sim",E16=""),"Preencher 4",IF(AND(E10="Sim",E16="Sim",E73=0),"Preencher 6.2",IF(AND(E10="Sim",E16="Sim",E73&gt;0),'SIMULADOR_TAXAS ADMINISTRATIVAS'!D37,IF(AND(E10="Não",E16=""),"Preencher 4",IF(AND(E10="Não",E16="Sim",E73=0),"Preencher 6.2",IF(AND(E10="Não",E16="Sim",E73&gt;0),'SIMULADOR_TAXAS ADMINISTRATIVAS'!D37,IF(AND(E10="Não",E16="Não"),"Não se aplica",IF(AND(E10="Sim",E16="Não"),"Não se aplica"))))))))))</f>
        <v>Preencher 1</v>
      </c>
      <c r="F105" s="324"/>
    </row>
    <row r="106" spans="1:6" s="154" customFormat="1" ht="15.95" customHeight="1" x14ac:dyDescent="0.25">
      <c r="A106" s="324"/>
      <c r="B106" s="267"/>
      <c r="C106" s="304"/>
      <c r="D106" s="304"/>
      <c r="E106" s="303"/>
      <c r="F106" s="324"/>
    </row>
    <row r="107" spans="1:6" s="152" customFormat="1" ht="45" customHeight="1" x14ac:dyDescent="0.25">
      <c r="A107" s="323"/>
      <c r="B107" s="294" t="s">
        <v>357</v>
      </c>
      <c r="C107" s="295" t="s">
        <v>377</v>
      </c>
      <c r="D107" s="305" t="s">
        <v>378</v>
      </c>
      <c r="E107" s="297" t="str">
        <f>IF(OR(E12="Demolição",E12="Reconstrução"),"Não se aplica",IF(E122="","Para simular a taxa aplicável, deve preencher os campos do formulário de acordo com a operação urbanistica",IF(AND(E122&gt;0,E18=""),"Preencher 5",IF(AND(E122&gt;0,E18&lt;&gt;""),TRIU_EDIFICAÇÃO!B16,IF(AND(E122&lt;=0,E18&lt;&gt;"",TRIU_EDIFICAÇÃO!B16=0),"Não se aplica")))))</f>
        <v>Para simular a taxa aplicável, deve preencher os campos do formulário de acordo com a operação urbanistica</v>
      </c>
      <c r="F107" s="323"/>
    </row>
    <row r="108" spans="1:6" s="152" customFormat="1" x14ac:dyDescent="0.25">
      <c r="A108" s="323"/>
      <c r="B108" s="267"/>
      <c r="C108" s="298" t="s">
        <v>379</v>
      </c>
      <c r="D108" s="306"/>
      <c r="E108" s="300"/>
      <c r="F108" s="323"/>
    </row>
    <row r="109" spans="1:6" s="152" customFormat="1" x14ac:dyDescent="0.25">
      <c r="A109" s="323"/>
      <c r="B109" s="267"/>
      <c r="C109" s="298"/>
      <c r="D109" s="306"/>
      <c r="E109" s="300"/>
      <c r="F109" s="323"/>
    </row>
    <row r="110" spans="1:6" s="152" customFormat="1" ht="45" x14ac:dyDescent="0.25">
      <c r="A110" s="323"/>
      <c r="B110" s="307" t="s">
        <v>357</v>
      </c>
      <c r="C110" s="326" t="s">
        <v>380</v>
      </c>
      <c r="D110" s="306"/>
      <c r="E110" s="352" t="str">
        <f>IF(OR(E95="Para simular a taxa aplicável, deve preencher os campos do formulário de acordo com a operação urbanística",E107="Para simular a taxa aplicável, deve preencher os campos do formulário de acordo com a operação urbanística"),"Para apurar valor, deve preencher os campos do formulário de acordo com a operação urbanística",IF(AND(E95="Não se aplica",E107="Não se aplica"),"Não se aplica",IF(SUM(E95,E107)&gt;0,SUM(E95,E107),IF(OR(E95="Não se aplica",E107="Não se aplica"),"Para apurar valor, deve preencher os campos do formulário de acordo com a operação urbanística"))))</f>
        <v>Para apurar valor, deve preencher os campos do formulário de acordo com a operação urbanística</v>
      </c>
      <c r="F110" s="323"/>
    </row>
    <row r="111" spans="1:6" s="152" customFormat="1" ht="15.75" customHeight="1" x14ac:dyDescent="0.25">
      <c r="A111" s="323"/>
      <c r="B111" s="267"/>
      <c r="C111" s="276"/>
      <c r="D111" s="306"/>
      <c r="E111" s="313"/>
      <c r="F111" s="323"/>
    </row>
    <row r="112" spans="1:6" s="151" customFormat="1" ht="24.95" customHeight="1" x14ac:dyDescent="0.25">
      <c r="A112" s="291"/>
      <c r="B112" s="145" t="s">
        <v>70</v>
      </c>
      <c r="C112" s="149"/>
      <c r="D112" s="150"/>
      <c r="E112" s="157"/>
      <c r="F112" s="291"/>
    </row>
    <row r="113" spans="1:6" s="151" customFormat="1" ht="15.95" customHeight="1" x14ac:dyDescent="0.25">
      <c r="A113" s="291"/>
      <c r="B113" s="272"/>
      <c r="C113" s="291"/>
      <c r="D113" s="292"/>
      <c r="E113" s="293"/>
      <c r="F113" s="291"/>
    </row>
    <row r="114" spans="1:6" s="152" customFormat="1" ht="15.95" customHeight="1" x14ac:dyDescent="0.25">
      <c r="A114" s="323"/>
      <c r="B114" s="314" t="s">
        <v>381</v>
      </c>
      <c r="C114" s="298" t="s">
        <v>382</v>
      </c>
      <c r="D114" s="315"/>
      <c r="E114" s="316">
        <f>TABELAS_COEFICIENTES!B2</f>
        <v>94.08</v>
      </c>
      <c r="F114" s="323"/>
    </row>
    <row r="115" spans="1:6" s="152" customFormat="1" ht="15.95" customHeight="1" x14ac:dyDescent="0.25">
      <c r="A115" s="323"/>
      <c r="B115" s="314" t="s">
        <v>383</v>
      </c>
      <c r="C115" s="298" t="s">
        <v>384</v>
      </c>
      <c r="D115" s="315"/>
      <c r="E115" s="316">
        <f>TABELAS_COEFICIENTES!B4</f>
        <v>23.52</v>
      </c>
      <c r="F115" s="323"/>
    </row>
    <row r="116" spans="1:6" s="152" customFormat="1" ht="15.95" customHeight="1" x14ac:dyDescent="0.25">
      <c r="A116" s="323"/>
      <c r="B116" s="314" t="s">
        <v>385</v>
      </c>
      <c r="C116" s="298" t="s">
        <v>386</v>
      </c>
      <c r="D116" s="315"/>
      <c r="E116" s="316">
        <f>TABELAS_COEFICIENTES!B5</f>
        <v>20.23</v>
      </c>
      <c r="F116" s="323"/>
    </row>
    <row r="117" spans="1:6" s="152" customFormat="1" ht="15.95" customHeight="1" x14ac:dyDescent="0.25">
      <c r="A117" s="323"/>
      <c r="B117" s="580" t="s">
        <v>387</v>
      </c>
      <c r="C117" s="584" t="s">
        <v>388</v>
      </c>
      <c r="D117" s="320" t="s">
        <v>389</v>
      </c>
      <c r="E117" s="301" t="str">
        <f>IF(E73=0,"",IF(E73&lt;=150,"1",IF(E73&lt;=600,"1,6",IF(E73&lt;=1200,"2,2",IF(E73&lt;=2500,"3",IF(E73&lt;=5000,"4",IF(E73&lt;=10000,"5",IF(E73&lt;=20000,"6",IF(E73&lt;=40000,"7",IF(E73&lt;=80000,"8",IF(E73&lt;=160000,"9",IF(E73&gt;160000,"10"))))))))))))</f>
        <v/>
      </c>
      <c r="F117" s="323"/>
    </row>
    <row r="118" spans="1:6" s="152" customFormat="1" ht="15.95" customHeight="1" x14ac:dyDescent="0.25">
      <c r="A118" s="323"/>
      <c r="B118" s="580"/>
      <c r="C118" s="584"/>
      <c r="D118" s="320" t="s">
        <v>363</v>
      </c>
      <c r="E118" s="301" t="str">
        <f>IF(E90="","",IF(E90=0,"0",IF(E90=1,"1",IF(E90&lt;=4,"1,6",IF(E90&lt;=8,"2,2",IF(E90&gt;8,"3"))))))</f>
        <v/>
      </c>
      <c r="F118" s="323"/>
    </row>
    <row r="119" spans="1:6" s="152" customFormat="1" ht="15.95" customHeight="1" x14ac:dyDescent="0.25">
      <c r="A119" s="323"/>
      <c r="B119" s="317"/>
      <c r="C119" s="349"/>
      <c r="D119" s="320" t="s">
        <v>365</v>
      </c>
      <c r="E119" s="301" t="str">
        <f>IF(E27="","",IF(ABS(E27)=0,0,IF(ABS(E27)&lt;=100,1,IF(ABS(E27)&lt;=500,1.6,IF(ABS(E27)&lt;=1250,2.2,IF(ABS(E27)&gt;1250,3))))))</f>
        <v/>
      </c>
      <c r="F119" s="323"/>
    </row>
    <row r="120" spans="1:6" s="152" customFormat="1" ht="15.95" customHeight="1" x14ac:dyDescent="0.25">
      <c r="A120" s="323"/>
      <c r="B120" s="314" t="s">
        <v>390</v>
      </c>
      <c r="C120" s="298" t="s">
        <v>391</v>
      </c>
      <c r="D120" s="315"/>
      <c r="E120" s="301" t="str">
        <f>IF(E12="","",IF(E12="Alteração","1",IF(E12="Ampliação","1,5",IF(E12="Construção nova","2",IF(E12="Reconstrução","2",IF(E12="Demolição",""))))))</f>
        <v/>
      </c>
      <c r="F120" s="323"/>
    </row>
    <row r="121" spans="1:6" s="152" customFormat="1" ht="15.95" customHeight="1" x14ac:dyDescent="0.25">
      <c r="A121" s="323"/>
      <c r="B121" s="314" t="s">
        <v>392</v>
      </c>
      <c r="C121" s="298" t="s">
        <v>393</v>
      </c>
      <c r="D121" s="315"/>
      <c r="E121" s="301" t="str">
        <f>IF(E18="","",IF(E18="Espaços a Consolidar","3",IF(E18="Espaços Consolidados","4")))</f>
        <v/>
      </c>
      <c r="F121" s="323"/>
    </row>
    <row r="122" spans="1:6" s="152" customFormat="1" ht="15.95" customHeight="1" x14ac:dyDescent="0.25">
      <c r="A122" s="323"/>
      <c r="B122" s="314" t="s">
        <v>394</v>
      </c>
      <c r="C122" s="298" t="s">
        <v>395</v>
      </c>
      <c r="D122" s="315"/>
      <c r="E122" s="301" t="str">
        <f>IF(E73=0,"",IF(SUM(E73-D73)&lt;0,"",E73-D73))</f>
        <v/>
      </c>
      <c r="F122" s="323"/>
    </row>
    <row r="123" spans="1:6" s="152" customFormat="1" ht="15.95" customHeight="1" x14ac:dyDescent="0.25">
      <c r="A123" s="323"/>
      <c r="B123" s="314" t="s">
        <v>396</v>
      </c>
      <c r="C123" s="298" t="s">
        <v>397</v>
      </c>
      <c r="D123" s="315"/>
      <c r="E123" s="449" t="str">
        <f>IF(E14="","",E14)</f>
        <v/>
      </c>
      <c r="F123" s="323"/>
    </row>
    <row r="124" spans="1:6" s="152" customFormat="1" ht="15.95" customHeight="1" x14ac:dyDescent="0.25">
      <c r="A124" s="323"/>
      <c r="B124" s="314" t="s">
        <v>398</v>
      </c>
      <c r="C124" s="298" t="s">
        <v>399</v>
      </c>
      <c r="D124" s="315"/>
      <c r="E124" s="301" t="str">
        <f>IF(E28="","",E28)</f>
        <v/>
      </c>
      <c r="F124" s="323"/>
    </row>
    <row r="125" spans="1:6" s="152" customFormat="1" ht="15.95" customHeight="1" x14ac:dyDescent="0.25">
      <c r="A125" s="323"/>
      <c r="B125" s="581" t="s">
        <v>400</v>
      </c>
      <c r="C125" s="584" t="s">
        <v>401</v>
      </c>
      <c r="D125" s="320" t="s">
        <v>371</v>
      </c>
      <c r="E125" s="301" t="str">
        <f>IF(E81="","",E81)</f>
        <v/>
      </c>
      <c r="F125" s="323"/>
    </row>
    <row r="126" spans="1:6" s="152" customFormat="1" ht="15.95" customHeight="1" x14ac:dyDescent="0.25">
      <c r="A126" s="323"/>
      <c r="B126" s="581"/>
      <c r="C126" s="584"/>
      <c r="D126" s="320" t="s">
        <v>373</v>
      </c>
      <c r="E126" s="301" t="str">
        <f>IF(E82="","",E82)</f>
        <v/>
      </c>
      <c r="F126" s="323"/>
    </row>
    <row r="127" spans="1:6" s="152" customFormat="1" ht="15.75" customHeight="1" x14ac:dyDescent="0.25">
      <c r="A127" s="323"/>
      <c r="B127" s="267"/>
      <c r="C127" s="349"/>
      <c r="D127" s="320" t="s">
        <v>374</v>
      </c>
      <c r="E127" s="301" t="str">
        <f>IF(E83="","",E83)</f>
        <v/>
      </c>
      <c r="F127" s="323"/>
    </row>
    <row r="128" spans="1:6" s="152" customFormat="1" ht="15.75" customHeight="1" x14ac:dyDescent="0.25">
      <c r="A128" s="323"/>
      <c r="B128" s="350"/>
      <c r="C128" s="351"/>
      <c r="D128" s="330"/>
      <c r="E128" s="331"/>
      <c r="F128" s="323"/>
    </row>
    <row r="129" spans="1:6" ht="15.6" customHeight="1" x14ac:dyDescent="0.25">
      <c r="A129" s="273"/>
      <c r="B129" s="267"/>
      <c r="C129" s="319"/>
      <c r="D129" s="319"/>
      <c r="E129" s="319"/>
      <c r="F129" s="319"/>
    </row>
    <row r="130" spans="1:6" ht="15.75" customHeight="1" x14ac:dyDescent="0.25">
      <c r="A130" s="273"/>
      <c r="B130" s="301" t="s">
        <v>276</v>
      </c>
      <c r="C130" s="322" t="s">
        <v>277</v>
      </c>
      <c r="D130" s="319"/>
      <c r="E130" s="319"/>
      <c r="F130" s="319"/>
    </row>
    <row r="131" spans="1:6" ht="15.75" customHeight="1" x14ac:dyDescent="0.25">
      <c r="A131" s="273"/>
      <c r="B131" s="301"/>
      <c r="C131" s="450" t="s">
        <v>278</v>
      </c>
      <c r="D131" s="319"/>
      <c r="E131" s="319"/>
      <c r="F131" s="319"/>
    </row>
    <row r="132" spans="1:6" ht="15.75" customHeight="1" x14ac:dyDescent="0.25">
      <c r="A132" s="273"/>
      <c r="B132" s="267"/>
      <c r="C132" s="298" t="s">
        <v>279</v>
      </c>
      <c r="D132" s="273"/>
      <c r="E132" s="274"/>
      <c r="F132" s="273"/>
    </row>
    <row r="133" spans="1:6" ht="15.75" customHeight="1" x14ac:dyDescent="0.25">
      <c r="A133" s="273"/>
      <c r="B133" s="267"/>
      <c r="C133" s="298" t="s">
        <v>280</v>
      </c>
      <c r="D133" s="273"/>
      <c r="E133" s="274"/>
      <c r="F133" s="273"/>
    </row>
    <row r="134" spans="1:6" ht="15.75" customHeight="1" x14ac:dyDescent="0.25">
      <c r="A134" s="273"/>
      <c r="B134" s="267"/>
      <c r="C134" s="318" t="s">
        <v>281</v>
      </c>
      <c r="D134" s="273"/>
      <c r="E134" s="274"/>
      <c r="F134" s="273"/>
    </row>
    <row r="135" spans="1:6" ht="15.75" customHeight="1" x14ac:dyDescent="0.25">
      <c r="A135" s="273"/>
      <c r="B135" s="267"/>
      <c r="C135" s="275"/>
      <c r="D135" s="273"/>
      <c r="E135" s="274"/>
      <c r="F135" s="273"/>
    </row>
    <row r="136" spans="1:6" ht="15.75" customHeight="1" x14ac:dyDescent="0.25">
      <c r="D136"/>
    </row>
  </sheetData>
  <sheetProtection algorithmName="SHA-512" hashValue="W7+WtZEehCpguDMwZFkAq4chiFv2ZY57FnKnsd2ncOib/RWFzXNDpJuM6b80sNhfy2mcG9jGLf1B5N5ksW7wkw==" saltValue="uIGmCo9V9oyH7LWp5pKKgg==" spinCount="100000" sheet="1" objects="1" scenarios="1" selectLockedCells="1"/>
  <mergeCells count="7">
    <mergeCell ref="B117:B118"/>
    <mergeCell ref="B125:B126"/>
    <mergeCell ref="D2:E2"/>
    <mergeCell ref="D4:E4"/>
    <mergeCell ref="D6:E6"/>
    <mergeCell ref="C117:C118"/>
    <mergeCell ref="C125:C126"/>
  </mergeCells>
  <phoneticPr fontId="4" type="noConversion"/>
  <conditionalFormatting sqref="D2 D4">
    <cfRule type="containsBlanks" dxfId="46" priority="30">
      <formula>LEN(TRIM(D2))=0</formula>
    </cfRule>
  </conditionalFormatting>
  <conditionalFormatting sqref="E10 E12 E16 E18 E78 E88">
    <cfRule type="containsBlanks" dxfId="45" priority="28">
      <formula>LEN(TRIM(E10))=0</formula>
    </cfRule>
  </conditionalFormatting>
  <conditionalFormatting sqref="E14">
    <cfRule type="containsBlanks" dxfId="44" priority="1">
      <formula>LEN(TRIM(E14))=0</formula>
    </cfRule>
  </conditionalFormatting>
  <conditionalFormatting sqref="E27:E28 D40:E44 D46:E50 D52:E58 D60:E71 E81:E83 E90">
    <cfRule type="containsBlanks" dxfId="43" priority="29">
      <formula>LEN(TRIM(D27))=0</formula>
    </cfRule>
  </conditionalFormatting>
  <dataValidations count="21">
    <dataValidation type="whole" allowBlank="1" showInputMessage="1" showErrorMessage="1" sqref="E17 E19:E21 E15" xr:uid="{1A46C8F2-A526-4E06-A915-4879CD76C1CC}">
      <formula1>0</formula1>
      <formula2>30</formula2>
    </dataValidation>
    <dataValidation type="list" allowBlank="1" showInputMessage="1" showErrorMessage="1" sqref="E12" xr:uid="{CDA03BB3-1A05-405C-BB64-F824BA3F0606}">
      <formula1>"Alteração,Ampliação,Construção nova,Reconstrução,Demolição"</formula1>
    </dataValidation>
    <dataValidation type="list" allowBlank="1" showInputMessage="1" showErrorMessage="1" sqref="E88 E78" xr:uid="{FEB13CE6-4D28-46DE-BABF-BF9AF7986776}">
      <formula1>"Sim, Não"</formula1>
    </dataValidation>
    <dataValidation type="list" allowBlank="1" showInputMessage="1" showErrorMessage="1" sqref="E10 E16" xr:uid="{47B065D0-5ABD-4CF2-9877-216C806ED385}">
      <formula1>"Sim,Não"</formula1>
    </dataValidation>
    <dataValidation type="list" allowBlank="1" showInputMessage="1" showErrorMessage="1" sqref="E18" xr:uid="{9AEAAB79-850C-4F4E-8955-31003A72A4BE}">
      <formula1>"Espaços a Consolidar, Espaços Consolidados"</formula1>
    </dataValidation>
    <dataValidation type="custom" allowBlank="1" showInputMessage="1" showErrorMessage="1" sqref="E93:E94 E114:E116" xr:uid="{8BFCF316-0934-457D-A7A8-B333A071E5AB}">
      <formula1>OR(E90&lt;&gt;"Sem demolição",E93=" ")</formula1>
    </dataValidation>
    <dataValidation type="custom" allowBlank="1" showInputMessage="1" showErrorMessage="1" sqref="E92" xr:uid="{9036B274-B4A4-462C-AE88-5C95F3399F41}">
      <formula1>OR(E90&lt;&gt;"Sem demolição",E92=" ")</formula1>
    </dataValidation>
    <dataValidation type="list" allowBlank="1" showInputMessage="1" showErrorMessage="1" sqref="E18" xr:uid="{C5B4D001-09C1-4398-A426-3C7755327CED}">
      <formula1>"Espaços a consolidar, Espaços consolidados"</formula1>
    </dataValidation>
    <dataValidation type="custom" allowBlank="1" showInputMessage="1" showErrorMessage="1" sqref="E91" xr:uid="{027A418E-299F-40A8-99E6-0F1D736E7866}">
      <formula1>OR(E90&lt;&gt;"Sem demolição",E91=" ")</formula1>
    </dataValidation>
    <dataValidation type="whole" operator="greaterThan" allowBlank="1" showInputMessage="1" showErrorMessage="1" error="Deve inserir um número inteiro" sqref="D31:E32 D35:E36" xr:uid="{C7B72E65-3044-49CB-8709-D5549C26D533}">
      <formula1>0</formula1>
    </dataValidation>
    <dataValidation type="list" allowBlank="1" showInputMessage="1" showErrorMessage="1" promptTitle="Norma de preenchimento" prompt="Aplicável apenas a obras de construção e reconstrução." sqref="E16" xr:uid="{13F8D7EC-5780-4392-AFA4-F611286FB0A0}">
      <formula1>"Sim, Não"</formula1>
    </dataValidation>
    <dataValidation type="custom" operator="greaterThanOrEqual" allowBlank="1" showInputMessage="1" showErrorMessage="1" errorTitle="Valor inválido" error="Apenas são admitidos valores numéricos com um máximo de duas casas decimais." promptTitle="Norma de preenchimento" prompt="Considerar o somatório da área de impermeabilização referente à construção, alteração e/ou demolição de piscinas, tanques, campos de jogos ou outros recintos, conforme representado nas peças desenhadas pelas cores convencionais amarelo, encarnado e azul." sqref="E27" xr:uid="{AB769984-E749-4446-9986-072BF1125B50}">
      <formula1>ROUND(E27,2)=E27</formula1>
    </dataValidation>
    <dataValidation type="custom" operator="greaterThanOrEqual" allowBlank="1" showInputMessage="1" showErrorMessage="1" errorTitle="Valor inválido" error="Apenas são admitidos valores numéricos com um máximo de duas casas decimais." promptTitle="Norma de preenchimento" prompt="Considerar apenas a extensão de muro ou outras vedações, confinantes com a via pública ou dela divisíveis, a construir e/ou alterar (medida em metros lineares)." sqref="E28" xr:uid="{0B33AC45-BCCD-4714-9C1C-2FC9788960E5}">
      <formula1>ROUND(D27,2)=D27</formula1>
    </dataValidation>
    <dataValidation type="custom" allowBlank="1" showInputMessage="1" showErrorMessage="1" sqref="E112" xr:uid="{9ACEEA73-165D-4FBC-AA93-5462B89895A3}">
      <formula1>OR(#REF!&lt;&gt;"Sem demolição",E112=" ")</formula1>
    </dataValidation>
    <dataValidation type="custom" allowBlank="1" showInputMessage="1" showErrorMessage="1" sqref="E113" xr:uid="{6102190A-0CFF-4DE6-9E37-EB4A033C19E9}">
      <formula1>OR(E107&lt;&gt;"Sem demolição",E113=" ")</formula1>
    </dataValidation>
    <dataValidation type="custom" operator="greaterThanOrEqual" showInputMessage="1" showErrorMessage="1" errorTitle="Valor inválido" error="Apenas são admitidos valores numéricos inteiros._x000a__x000a_Nota: O preenchimento deste campo só é permitido se tiver respondido &quot;Sim&quot; no campo 7.1." sqref="E81" xr:uid="{3E5EE10C-5B1E-4F41-BC44-7665180D9432}">
      <formula1>AND(E78="Sim", MOD(E81,1)=0, E81&gt;=1)</formula1>
    </dataValidation>
    <dataValidation type="custom" operator="greaterThan" showInputMessage="1" showErrorMessage="1" errorTitle="Valor inválido" error="Apenas são admitidos valores numéricos inteiros._x000a__x000a_Nota: O preenchimento deste campo apenas é permitido se tiver respondido &quot;sim&quot; no campo 8.1 ou se tiver identificado no campo 2 o tipo de obra como &quot;Demolição&quot;." sqref="E90" xr:uid="{0F0A521C-D72E-4F64-8042-78400040C4B4}">
      <formula1>AND(OR(E88="Sim", E12="Demolição"),MOD(E90,1)=0, E90&gt;=1)</formula1>
    </dataValidation>
    <dataValidation type="custom" operator="greaterThanOrEqual" allowBlank="1" showInputMessage="1" showErrorMessage="1" errorTitle="Valor inválido" error="Apenas são admitidos valores numéricos com um máximo de duas casas decimais." sqref="D40:E44 D46:E50 D52:E58 D60:E71" xr:uid="{DC1199F5-E9D0-4AA6-8C02-0829CF8AD540}">
      <formula1>ROUND(D40,2)=D40</formula1>
    </dataValidation>
    <dataValidation type="whole" operator="greaterThan" allowBlank="1" showInputMessage="1" showErrorMessage="1" errorTitle="Valor inválido" error="Apenas são admitidos valores numéricos inteiros que correspondam ao prazo em meses de execução da obra." prompt="Indique o prazo (em meses) para a execução da obra" sqref="E14" xr:uid="{66B8CAD4-BD29-418C-927F-053AE7E94B02}">
      <formula1>0</formula1>
    </dataValidation>
    <dataValidation type="custom" operator="greaterThanOrEqual" showInputMessage="1" showErrorMessage="1" errorTitle="Valor inválido" error="Apenas são admitidos valores numéricos inteiros._x000a__x000a_Nota: O preenchimento deste campo só é permitido se tiver respondido &quot;Sim&quot; no campo 7.1." sqref="E82" xr:uid="{B44CCFD0-3E5F-4061-AC3E-C21F24844C99}">
      <formula1>AND(E78="Sim", MOD(E82,1)=0, E82&gt;=1)</formula1>
    </dataValidation>
    <dataValidation type="custom" operator="greaterThanOrEqual" showInputMessage="1" showErrorMessage="1" errorTitle="Valor inválido" error="Apenas são admitidos valores numéricos inteiros._x000a__x000a_Nota: O preenchimento deste campo só é permitido se tiver respondido &quot;Sim&quot; no campo 7.1." sqref="E83" xr:uid="{E3CC99C2-CC18-48D6-A285-B98721A6345D}">
      <formula1>AND(E78="Sim", MOD(E83,1)=0, E83&gt;=1)</formula1>
    </dataValidation>
  </dataValidations>
  <hyperlinks>
    <hyperlink ref="C19" r:id="rId1" display="Para identificar a categoria de Espaço Urbano em que se encontra inserida a operação urbanistica consulte a Planta de Ordenamento - Qualificação do Espaço Urbano em:" xr:uid="{1FD5A4A4-2304-40AC-B952-1A0725E38B0B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2"/>
  <headerFooter>
    <oddFooter>&amp;L&amp;F&amp;RPágina &amp;P de &amp;N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D9DC-AAC0-4135-9282-9774508827DC}">
  <sheetPr codeName="Folha7">
    <tabColor theme="6" tint="-0.499984740745262"/>
    <pageSetUpPr fitToPage="1"/>
  </sheetPr>
  <dimension ref="A1:F103"/>
  <sheetViews>
    <sheetView showGridLines="0" zoomScale="90" zoomScaleNormal="90" workbookViewId="0">
      <selection activeCell="D2" sqref="D2:E2"/>
    </sheetView>
  </sheetViews>
  <sheetFormatPr defaultColWidth="5.5703125" defaultRowHeight="15.75" customHeight="1" x14ac:dyDescent="0.25"/>
  <cols>
    <col min="1" max="1" width="2.5703125" style="143" customWidth="1"/>
    <col min="2" max="2" width="6.5703125" style="160" customWidth="1"/>
    <col min="3" max="3" width="150.85546875" style="155" customWidth="1"/>
    <col min="4" max="4" width="40.5703125" style="143" customWidth="1"/>
    <col min="5" max="5" width="40.5703125" style="156" customWidth="1"/>
    <col min="6" max="6" width="2.5703125" style="143" customWidth="1"/>
    <col min="7" max="16384" width="5.5703125" style="143"/>
  </cols>
  <sheetData>
    <row r="1" spans="1:6" ht="15.75" customHeight="1" x14ac:dyDescent="0.25">
      <c r="A1" s="273"/>
      <c r="B1" s="362"/>
      <c r="C1" s="268"/>
      <c r="D1" s="269"/>
      <c r="E1" s="270"/>
      <c r="F1" s="273"/>
    </row>
    <row r="2" spans="1:6" ht="15.75" customHeight="1" x14ac:dyDescent="0.25">
      <c r="A2" s="273"/>
      <c r="B2" s="362"/>
      <c r="C2" s="280" t="s">
        <v>282</v>
      </c>
      <c r="D2" s="585"/>
      <c r="E2" s="585"/>
      <c r="F2" s="273"/>
    </row>
    <row r="3" spans="1:6" ht="15.75" customHeight="1" x14ac:dyDescent="0.25">
      <c r="A3" s="273"/>
      <c r="B3" s="362"/>
      <c r="C3" s="280"/>
      <c r="D3" s="269"/>
      <c r="E3" s="270"/>
      <c r="F3" s="273"/>
    </row>
    <row r="4" spans="1:6" ht="15.75" customHeight="1" x14ac:dyDescent="0.25">
      <c r="A4" s="273"/>
      <c r="B4" s="362"/>
      <c r="C4" s="280" t="s">
        <v>283</v>
      </c>
      <c r="D4" s="585"/>
      <c r="E4" s="585"/>
      <c r="F4" s="273"/>
    </row>
    <row r="5" spans="1:6" ht="15.75" customHeight="1" x14ac:dyDescent="0.25">
      <c r="A5" s="273"/>
      <c r="B5" s="362"/>
      <c r="C5" s="280"/>
      <c r="D5" s="269"/>
      <c r="E5" s="270"/>
      <c r="F5" s="273"/>
    </row>
    <row r="6" spans="1:6" ht="15.75" customHeight="1" x14ac:dyDescent="0.25">
      <c r="A6" s="273"/>
      <c r="B6" s="362"/>
      <c r="C6" s="280" t="s">
        <v>284</v>
      </c>
      <c r="D6" s="586">
        <f ca="1">NOW()</f>
        <v>46178.662026273145</v>
      </c>
      <c r="E6" s="586"/>
      <c r="F6" s="273"/>
    </row>
    <row r="7" spans="1:6" ht="15.75" customHeight="1" x14ac:dyDescent="0.25">
      <c r="A7" s="273"/>
      <c r="B7" s="362"/>
      <c r="C7" s="268"/>
      <c r="D7" s="269"/>
      <c r="E7" s="270"/>
      <c r="F7" s="273"/>
    </row>
    <row r="8" spans="1:6" ht="24.95" customHeight="1" x14ac:dyDescent="0.25">
      <c r="A8" s="273"/>
      <c r="B8" s="145" t="s">
        <v>402</v>
      </c>
      <c r="C8" s="145"/>
      <c r="D8" s="146"/>
      <c r="E8" s="147"/>
      <c r="F8" s="273"/>
    </row>
    <row r="9" spans="1:6" ht="15.75" customHeight="1" x14ac:dyDescent="0.25">
      <c r="A9" s="273"/>
      <c r="B9" s="362"/>
      <c r="C9" s="275"/>
      <c r="D9" s="273"/>
      <c r="E9" s="274"/>
      <c r="F9" s="273"/>
    </row>
    <row r="10" spans="1:6" x14ac:dyDescent="0.25">
      <c r="A10" s="273"/>
      <c r="B10" s="363">
        <v>1</v>
      </c>
      <c r="C10" s="276" t="s">
        <v>286</v>
      </c>
      <c r="D10" s="269"/>
      <c r="E10" s="391"/>
      <c r="F10" s="273"/>
    </row>
    <row r="11" spans="1:6" x14ac:dyDescent="0.25">
      <c r="A11" s="273"/>
      <c r="B11" s="363"/>
      <c r="C11" s="278"/>
      <c r="D11" s="269"/>
      <c r="E11" s="270"/>
      <c r="F11" s="273"/>
    </row>
    <row r="12" spans="1:6" x14ac:dyDescent="0.25">
      <c r="A12" s="273"/>
      <c r="B12" s="363">
        <v>2</v>
      </c>
      <c r="C12" s="346" t="s">
        <v>403</v>
      </c>
      <c r="D12" s="269"/>
      <c r="E12" s="391"/>
      <c r="F12" s="273"/>
    </row>
    <row r="13" spans="1:6" x14ac:dyDescent="0.25">
      <c r="A13" s="273"/>
      <c r="B13" s="363"/>
      <c r="C13" s="346"/>
      <c r="D13" s="269"/>
      <c r="E13" s="364"/>
      <c r="F13" s="273"/>
    </row>
    <row r="14" spans="1:6" x14ac:dyDescent="0.25">
      <c r="A14" s="273"/>
      <c r="B14" s="363">
        <v>3</v>
      </c>
      <c r="C14" s="346" t="s">
        <v>404</v>
      </c>
      <c r="D14" s="269"/>
      <c r="E14" s="392"/>
      <c r="F14" s="273"/>
    </row>
    <row r="15" spans="1:6" x14ac:dyDescent="0.25">
      <c r="A15" s="273"/>
      <c r="B15" s="363"/>
      <c r="C15" s="279"/>
      <c r="D15" s="269"/>
      <c r="E15" s="280"/>
      <c r="F15" s="273"/>
    </row>
    <row r="16" spans="1:6" x14ac:dyDescent="0.25">
      <c r="A16" s="273"/>
      <c r="B16" s="363">
        <v>4</v>
      </c>
      <c r="C16" s="276" t="s">
        <v>290</v>
      </c>
      <c r="D16" s="269"/>
      <c r="E16" s="391"/>
      <c r="F16" s="273"/>
    </row>
    <row r="17" spans="1:6" x14ac:dyDescent="0.2">
      <c r="A17" s="273"/>
      <c r="B17" s="365"/>
      <c r="C17" s="281" t="s">
        <v>291</v>
      </c>
      <c r="D17" s="269"/>
      <c r="E17" s="280"/>
      <c r="F17" s="273"/>
    </row>
    <row r="18" spans="1:6" x14ac:dyDescent="0.25">
      <c r="A18" s="273"/>
      <c r="B18" s="365"/>
      <c r="C18" s="282"/>
      <c r="D18" s="269"/>
      <c r="E18" s="283"/>
      <c r="F18" s="273"/>
    </row>
    <row r="19" spans="1:6" x14ac:dyDescent="0.25">
      <c r="A19" s="273"/>
      <c r="B19" s="365"/>
      <c r="C19" s="282"/>
      <c r="D19" s="269"/>
      <c r="E19" s="283"/>
      <c r="F19" s="273"/>
    </row>
    <row r="20" spans="1:6" s="148" customFormat="1" x14ac:dyDescent="0.25">
      <c r="A20" s="342"/>
      <c r="B20" s="284">
        <v>5</v>
      </c>
      <c r="C20" s="285" t="s">
        <v>292</v>
      </c>
      <c r="D20" s="309"/>
      <c r="E20" s="345"/>
      <c r="F20" s="342"/>
    </row>
    <row r="21" spans="1:6" s="161" customFormat="1" hidden="1" x14ac:dyDescent="0.25">
      <c r="A21" s="366"/>
      <c r="B21" s="365"/>
      <c r="C21" s="282" t="s">
        <v>296</v>
      </c>
      <c r="D21" s="367"/>
      <c r="E21" s="368" t="s">
        <v>405</v>
      </c>
      <c r="F21" s="366"/>
    </row>
    <row r="22" spans="1:6" s="161" customFormat="1" ht="16.5" hidden="1" x14ac:dyDescent="0.25">
      <c r="A22" s="366"/>
      <c r="B22" s="365"/>
      <c r="C22" s="369" t="s">
        <v>406</v>
      </c>
      <c r="D22" s="367"/>
      <c r="E22" s="370"/>
      <c r="F22" s="366"/>
    </row>
    <row r="23" spans="1:6" s="161" customFormat="1" hidden="1" x14ac:dyDescent="0.25">
      <c r="A23" s="366"/>
      <c r="B23" s="365"/>
      <c r="C23" s="367"/>
      <c r="D23" s="367"/>
      <c r="E23" s="367"/>
      <c r="F23" s="366"/>
    </row>
    <row r="24" spans="1:6" s="161" customFormat="1" hidden="1" x14ac:dyDescent="0.25">
      <c r="A24" s="366"/>
      <c r="B24" s="365"/>
      <c r="C24" s="371" t="s">
        <v>407</v>
      </c>
      <c r="D24" s="367"/>
      <c r="E24" s="368" t="s">
        <v>294</v>
      </c>
      <c r="F24" s="366"/>
    </row>
    <row r="25" spans="1:6" s="161" customFormat="1" ht="16.5" hidden="1" x14ac:dyDescent="0.25">
      <c r="A25" s="366"/>
      <c r="B25" s="365"/>
      <c r="C25" s="369" t="s">
        <v>408</v>
      </c>
      <c r="D25" s="367"/>
      <c r="E25" s="370"/>
      <c r="F25" s="366"/>
    </row>
    <row r="26" spans="1:6" s="161" customFormat="1" ht="16.5" hidden="1" x14ac:dyDescent="0.25">
      <c r="A26" s="366"/>
      <c r="B26" s="365"/>
      <c r="C26" s="369" t="s">
        <v>409</v>
      </c>
      <c r="D26" s="367"/>
      <c r="E26" s="370"/>
      <c r="F26" s="366"/>
    </row>
    <row r="27" spans="1:6" s="161" customFormat="1" ht="16.5" hidden="1" x14ac:dyDescent="0.25">
      <c r="A27" s="366"/>
      <c r="B27" s="365"/>
      <c r="C27" s="369" t="s">
        <v>410</v>
      </c>
      <c r="D27" s="367"/>
      <c r="E27" s="370"/>
      <c r="F27" s="366"/>
    </row>
    <row r="28" spans="1:6" s="161" customFormat="1" ht="16.5" hidden="1" x14ac:dyDescent="0.25">
      <c r="A28" s="366"/>
      <c r="B28" s="365"/>
      <c r="C28" s="369" t="s">
        <v>411</v>
      </c>
      <c r="D28" s="367"/>
      <c r="E28" s="370"/>
      <c r="F28" s="366"/>
    </row>
    <row r="29" spans="1:6" s="161" customFormat="1" ht="16.5" hidden="1" x14ac:dyDescent="0.25">
      <c r="A29" s="366"/>
      <c r="B29" s="365"/>
      <c r="C29" s="369" t="s">
        <v>412</v>
      </c>
      <c r="D29" s="367"/>
      <c r="E29" s="370"/>
      <c r="F29" s="366"/>
    </row>
    <row r="30" spans="1:6" hidden="1" x14ac:dyDescent="0.25">
      <c r="A30" s="273"/>
      <c r="B30" s="365" t="s">
        <v>413</v>
      </c>
      <c r="C30" s="282" t="s">
        <v>414</v>
      </c>
      <c r="D30" s="269"/>
      <c r="E30" s="270"/>
      <c r="F30" s="273"/>
    </row>
    <row r="31" spans="1:6" ht="16.350000000000001" hidden="1" customHeight="1" x14ac:dyDescent="0.25">
      <c r="A31" s="273"/>
      <c r="B31" s="365"/>
      <c r="C31" s="268" t="s">
        <v>415</v>
      </c>
      <c r="D31" s="288"/>
      <c r="E31" s="372"/>
      <c r="F31" s="273"/>
    </row>
    <row r="32" spans="1:6" ht="16.5" hidden="1" x14ac:dyDescent="0.25">
      <c r="A32" s="273"/>
      <c r="B32" s="365"/>
      <c r="C32" s="268" t="s">
        <v>416</v>
      </c>
      <c r="D32" s="288"/>
      <c r="E32" s="373"/>
      <c r="F32" s="273"/>
    </row>
    <row r="33" spans="1:6" ht="16.5" hidden="1" x14ac:dyDescent="0.25">
      <c r="A33" s="273"/>
      <c r="B33" s="365"/>
      <c r="C33" s="268" t="s">
        <v>417</v>
      </c>
      <c r="D33" s="288"/>
      <c r="E33" s="373"/>
      <c r="F33" s="273"/>
    </row>
    <row r="34" spans="1:6" hidden="1" x14ac:dyDescent="0.25">
      <c r="A34" s="273"/>
      <c r="B34" s="365"/>
      <c r="C34" s="268" t="s">
        <v>418</v>
      </c>
      <c r="D34" s="288"/>
      <c r="E34" s="373"/>
      <c r="F34" s="273"/>
    </row>
    <row r="35" spans="1:6" ht="16.5" hidden="1" x14ac:dyDescent="0.25">
      <c r="A35" s="273"/>
      <c r="B35" s="365"/>
      <c r="C35" s="268" t="s">
        <v>419</v>
      </c>
      <c r="D35" s="374"/>
      <c r="E35" s="373"/>
      <c r="F35" s="273"/>
    </row>
    <row r="36" spans="1:6" hidden="1" x14ac:dyDescent="0.25">
      <c r="A36" s="273"/>
      <c r="B36" s="365"/>
      <c r="C36" s="268" t="s">
        <v>420</v>
      </c>
      <c r="D36" s="288"/>
      <c r="E36" s="373"/>
      <c r="F36" s="273"/>
    </row>
    <row r="37" spans="1:6" hidden="1" x14ac:dyDescent="0.25">
      <c r="A37" s="273"/>
      <c r="B37" s="365"/>
      <c r="C37" s="268" t="s">
        <v>421</v>
      </c>
      <c r="D37" s="288"/>
      <c r="E37" s="373"/>
      <c r="F37" s="273"/>
    </row>
    <row r="38" spans="1:6" hidden="1" x14ac:dyDescent="0.25">
      <c r="A38" s="273"/>
      <c r="B38" s="365"/>
      <c r="C38" s="268" t="s">
        <v>422</v>
      </c>
      <c r="D38" s="288"/>
      <c r="E38" s="373"/>
      <c r="F38" s="273"/>
    </row>
    <row r="39" spans="1:6" hidden="1" x14ac:dyDescent="0.25">
      <c r="A39" s="273"/>
      <c r="B39" s="365"/>
      <c r="C39" s="268" t="s">
        <v>423</v>
      </c>
      <c r="D39" s="288"/>
      <c r="E39" s="373"/>
      <c r="F39" s="273"/>
    </row>
    <row r="40" spans="1:6" hidden="1" x14ac:dyDescent="0.25">
      <c r="A40" s="273"/>
      <c r="B40" s="365"/>
      <c r="C40" s="268" t="s">
        <v>424</v>
      </c>
      <c r="D40" s="288"/>
      <c r="E40" s="375"/>
      <c r="F40" s="273"/>
    </row>
    <row r="41" spans="1:6" hidden="1" x14ac:dyDescent="0.25">
      <c r="A41" s="273"/>
      <c r="B41" s="365"/>
      <c r="C41" s="268" t="s">
        <v>425</v>
      </c>
      <c r="D41" s="288"/>
      <c r="E41" s="375"/>
      <c r="F41" s="273"/>
    </row>
    <row r="42" spans="1:6" hidden="1" x14ac:dyDescent="0.25">
      <c r="A42" s="273"/>
      <c r="B42" s="365"/>
      <c r="C42" s="268"/>
      <c r="D42" s="269"/>
      <c r="E42" s="270"/>
      <c r="F42" s="273"/>
    </row>
    <row r="43" spans="1:6" ht="35.1" customHeight="1" x14ac:dyDescent="0.25">
      <c r="A43" s="273"/>
      <c r="B43" s="363" t="s">
        <v>413</v>
      </c>
      <c r="C43" s="338" t="s">
        <v>311</v>
      </c>
      <c r="D43" s="84" t="s">
        <v>293</v>
      </c>
      <c r="E43" s="87" t="s">
        <v>294</v>
      </c>
      <c r="F43" s="273"/>
    </row>
    <row r="44" spans="1:6" ht="16.5" x14ac:dyDescent="0.25">
      <c r="A44" s="273"/>
      <c r="B44" s="365"/>
      <c r="C44" s="376" t="s">
        <v>426</v>
      </c>
      <c r="D44" s="87" t="s">
        <v>313</v>
      </c>
      <c r="E44" s="87" t="s">
        <v>313</v>
      </c>
      <c r="F44" s="273"/>
    </row>
    <row r="45" spans="1:6" x14ac:dyDescent="0.25">
      <c r="A45" s="273"/>
      <c r="B45" s="365"/>
      <c r="C45" s="286" t="s">
        <v>312</v>
      </c>
      <c r="D45" s="340"/>
      <c r="E45" s="340"/>
      <c r="F45" s="273"/>
    </row>
    <row r="46" spans="1:6" x14ac:dyDescent="0.25">
      <c r="A46" s="273"/>
      <c r="B46" s="365"/>
      <c r="C46" s="286" t="s">
        <v>319</v>
      </c>
      <c r="D46" s="378"/>
      <c r="E46" s="393"/>
      <c r="F46" s="273"/>
    </row>
    <row r="47" spans="1:6" x14ac:dyDescent="0.25">
      <c r="A47" s="273"/>
      <c r="B47" s="365"/>
      <c r="C47" s="287" t="s">
        <v>322</v>
      </c>
      <c r="D47" s="340"/>
      <c r="E47" s="340"/>
      <c r="F47" s="273"/>
    </row>
    <row r="48" spans="1:6" x14ac:dyDescent="0.25">
      <c r="A48" s="273"/>
      <c r="B48" s="365"/>
      <c r="C48" s="287" t="s">
        <v>427</v>
      </c>
      <c r="D48" s="340"/>
      <c r="E48" s="340"/>
      <c r="F48" s="273"/>
    </row>
    <row r="49" spans="1:6" x14ac:dyDescent="0.25">
      <c r="A49" s="273"/>
      <c r="B49" s="365"/>
      <c r="C49" s="287" t="s">
        <v>318</v>
      </c>
      <c r="D49" s="340"/>
      <c r="E49" s="340"/>
      <c r="F49" s="273"/>
    </row>
    <row r="50" spans="1:6" x14ac:dyDescent="0.25">
      <c r="A50" s="273"/>
      <c r="B50" s="365"/>
      <c r="C50" s="286" t="s">
        <v>324</v>
      </c>
      <c r="D50" s="340"/>
      <c r="E50" s="340"/>
      <c r="F50" s="273"/>
    </row>
    <row r="51" spans="1:6" x14ac:dyDescent="0.25">
      <c r="A51" s="273"/>
      <c r="B51" s="365"/>
      <c r="C51" s="286" t="s">
        <v>330</v>
      </c>
      <c r="D51" s="340"/>
      <c r="E51" s="340"/>
      <c r="F51" s="273"/>
    </row>
    <row r="52" spans="1:6" x14ac:dyDescent="0.25">
      <c r="A52" s="273"/>
      <c r="B52" s="365"/>
      <c r="C52" s="286" t="s">
        <v>339</v>
      </c>
      <c r="D52" s="340"/>
      <c r="E52" s="340"/>
      <c r="F52" s="273"/>
    </row>
    <row r="53" spans="1:6" x14ac:dyDescent="0.25">
      <c r="A53" s="273"/>
      <c r="B53" s="365"/>
      <c r="C53" s="286" t="s">
        <v>340</v>
      </c>
      <c r="D53" s="340"/>
      <c r="E53" s="340"/>
      <c r="F53" s="273"/>
    </row>
    <row r="54" spans="1:6" x14ac:dyDescent="0.25">
      <c r="A54" s="273"/>
      <c r="B54" s="365"/>
      <c r="C54" s="286" t="s">
        <v>341</v>
      </c>
      <c r="D54" s="340"/>
      <c r="E54" s="340"/>
      <c r="F54" s="273"/>
    </row>
    <row r="55" spans="1:6" x14ac:dyDescent="0.25">
      <c r="A55" s="273"/>
      <c r="B55" s="379"/>
      <c r="C55" s="269"/>
      <c r="D55" s="288"/>
      <c r="E55" s="270"/>
      <c r="F55" s="273"/>
    </row>
    <row r="56" spans="1:6" x14ac:dyDescent="0.25">
      <c r="A56" s="273"/>
      <c r="B56" s="379"/>
      <c r="C56" s="282" t="s">
        <v>95</v>
      </c>
      <c r="D56" s="289">
        <f>SUM(D45,D47:D54)</f>
        <v>0</v>
      </c>
      <c r="E56" s="289">
        <f>SUM(E45,E47:E54)</f>
        <v>0</v>
      </c>
      <c r="F56" s="273"/>
    </row>
    <row r="57" spans="1:6" x14ac:dyDescent="0.25">
      <c r="A57" s="273"/>
      <c r="B57" s="379"/>
      <c r="C57" s="282"/>
      <c r="D57" s="341"/>
      <c r="E57" s="341"/>
      <c r="F57" s="273"/>
    </row>
    <row r="58" spans="1:6" x14ac:dyDescent="0.25">
      <c r="A58" s="273"/>
      <c r="B58" s="379"/>
      <c r="C58" s="282"/>
      <c r="D58" s="341"/>
      <c r="E58" s="341"/>
      <c r="F58" s="273"/>
    </row>
    <row r="59" spans="1:6" x14ac:dyDescent="0.25">
      <c r="A59" s="273"/>
      <c r="B59" s="284">
        <v>6</v>
      </c>
      <c r="C59" s="285" t="s">
        <v>428</v>
      </c>
      <c r="D59" s="342"/>
      <c r="E59" s="342"/>
      <c r="F59" s="343"/>
    </row>
    <row r="60" spans="1:6" ht="15.95" customHeight="1" x14ac:dyDescent="0.25">
      <c r="A60" s="273"/>
      <c r="B60" s="380"/>
      <c r="C60" s="308"/>
      <c r="D60" s="309"/>
      <c r="E60" s="167" t="s">
        <v>294</v>
      </c>
      <c r="F60" s="345"/>
    </row>
    <row r="61" spans="1:6" ht="16.5" x14ac:dyDescent="0.25">
      <c r="A61" s="273"/>
      <c r="B61" s="267" t="s">
        <v>295</v>
      </c>
      <c r="C61" s="276" t="s">
        <v>429</v>
      </c>
      <c r="D61" s="269"/>
      <c r="E61" s="340"/>
      <c r="F61" s="364"/>
    </row>
    <row r="62" spans="1:6" x14ac:dyDescent="0.25">
      <c r="A62" s="273"/>
      <c r="B62" s="286"/>
      <c r="C62" s="269"/>
      <c r="D62" s="269"/>
      <c r="E62" s="270"/>
      <c r="F62" s="270"/>
    </row>
    <row r="63" spans="1:6" x14ac:dyDescent="0.25">
      <c r="A63" s="273"/>
      <c r="B63" s="286"/>
      <c r="C63" s="269"/>
      <c r="D63" s="269"/>
      <c r="E63" s="270"/>
      <c r="F63" s="270"/>
    </row>
    <row r="64" spans="1:6" s="151" customFormat="1" ht="24.95" customHeight="1" x14ac:dyDescent="0.25">
      <c r="A64" s="291"/>
      <c r="B64" s="145" t="s">
        <v>356</v>
      </c>
      <c r="C64" s="149"/>
      <c r="D64" s="150"/>
      <c r="E64" s="157"/>
      <c r="F64" s="291"/>
    </row>
    <row r="65" spans="1:6" ht="15.75" customHeight="1" x14ac:dyDescent="0.25">
      <c r="A65" s="273"/>
      <c r="B65" s="362"/>
      <c r="C65" s="275"/>
      <c r="D65" s="273"/>
      <c r="E65" s="274"/>
      <c r="F65" s="273"/>
    </row>
    <row r="66" spans="1:6" s="197" customFormat="1" ht="45" customHeight="1" x14ac:dyDescent="0.25">
      <c r="A66" s="381"/>
      <c r="B66" s="363" t="s">
        <v>357</v>
      </c>
      <c r="C66" s="276" t="s">
        <v>91</v>
      </c>
      <c r="D66" s="382" t="s">
        <v>430</v>
      </c>
      <c r="E66" s="297" t="str">
        <f>IF(SUM(E67:E71)&gt;0,SUM(E67:E71),"Para simular a taxa aplicável, deve preencher os campos do formulário de acordo com a operação urbanistica")</f>
        <v>Para simular a taxa aplicável, deve preencher os campos do formulário de acordo com a operação urbanistica</v>
      </c>
      <c r="F66" s="381"/>
    </row>
    <row r="67" spans="1:6" s="152" customFormat="1" ht="30" customHeight="1" x14ac:dyDescent="0.25">
      <c r="A67" s="323"/>
      <c r="B67" s="383" t="s">
        <v>360</v>
      </c>
      <c r="C67" s="302" t="s">
        <v>431</v>
      </c>
      <c r="D67" s="298" t="s">
        <v>432</v>
      </c>
      <c r="E67" s="303" t="str">
        <f>IF(E10="","Preencher 1",IF(AND(E10="Sim",E12=""),"Preencher 2",IF(AND(E10="Sim",E12="Trabalhos de remodelação de terrenos",E14=""),"Preencher 3",IF(AND(E10="Sim",E12="Trabalhos de remodelação de terrenos",E14&gt;0),'SIMULADOR_TAXAS ADMINISTRATIVAS'!D47,IF(AND(E10="Sim",E12&lt;&gt;"Trabalhos de remodelação de terrenos"),"Não se aplica",IF(E10="Não","Não se aplica",""))))))</f>
        <v>Preencher 1</v>
      </c>
      <c r="F67" s="323"/>
    </row>
    <row r="68" spans="1:6" s="154" customFormat="1" ht="40.35" customHeight="1" x14ac:dyDescent="0.25">
      <c r="A68" s="324"/>
      <c r="B68" s="383" t="s">
        <v>363</v>
      </c>
      <c r="C68" s="384" t="s">
        <v>433</v>
      </c>
      <c r="D68" s="298" t="s">
        <v>434</v>
      </c>
      <c r="E68" s="303" t="str">
        <f>IF(E10="","Preencher 1",IF(AND(E10="Sim",E12=""),"Preencher 2",IF(AND(E10="Sim",E12="Obras de urbanização",E14=""),"Preencher 3",IF(AND(E10="Sim",E12="Obras de urbanização",E14&gt;0),'SIMULADOR_TAXAS ADMINISTRATIVAS'!D52,IF(AND(E10="Sim",E12&lt;&gt;"Obras de urbanização"),"Não se aplica",IF(E10="Não","Não se aplica",""))))))</f>
        <v>Preencher 1</v>
      </c>
      <c r="F68" s="324"/>
    </row>
    <row r="69" spans="1:6" s="154" customFormat="1" ht="15.75" customHeight="1" x14ac:dyDescent="0.25">
      <c r="A69" s="324"/>
      <c r="B69" s="383" t="s">
        <v>365</v>
      </c>
      <c r="C69" s="385" t="s">
        <v>154</v>
      </c>
      <c r="D69" s="298" t="s">
        <v>435</v>
      </c>
      <c r="E69" s="303" t="str">
        <f>IF(E10="","Preencher 1",IF(AND(E10="Sim",E12=""),"Preencher 2",IF(AND(E10="Sim",E12="Operação de loteamento sem obras de urbanização",E56=0),"Preencher 5",IF(AND(E10="Sim",E12="Operação de loteamento sem obras de urbanização",E56&gt;0),'SIMULADOR_TAXAS ADMINISTRATIVAS'!D58,IF(AND(E10="Sim",E12&lt;&gt;" Operação de loteamento sem obras de urbanização "),"Não se aplica",IF(E10="Não","Não se aplica",""))))))</f>
        <v>Preencher 1</v>
      </c>
      <c r="F69" s="324"/>
    </row>
    <row r="70" spans="1:6" s="154" customFormat="1" ht="30" customHeight="1" x14ac:dyDescent="0.25">
      <c r="A70" s="324"/>
      <c r="B70" s="383" t="s">
        <v>368</v>
      </c>
      <c r="C70" s="384" t="s">
        <v>436</v>
      </c>
      <c r="D70" s="298" t="s">
        <v>437</v>
      </c>
      <c r="E70" s="303" t="str">
        <f>IF(E10="","Preencher 1",IF(AND(E10="Sim",E12=""),"Preencher 2",IF(AND(E10="Sim",E12="Operação de loteamento com obras de urbanização",E14=""),"Preencher 3",IF(AND(E10="Sim",E12="Operação de loteamento com obras de urbanização",E14&gt;0,E56=0),"Preencher 5",IF(AND(E10="Sim",E12="Operação de loteamento com obras de urbanização",E14&gt;0,E56&gt;0),'SIMULADOR_TAXAS ADMINISTRATIVAS'!D59,IF(AND(E10="Sim",E12&lt;&gt;"Operação de loteamento com obras de urbanização"),"Não se aplica",IF(E10="Não","Não se aplica","")))))))</f>
        <v>Preencher 1</v>
      </c>
      <c r="F70" s="324"/>
    </row>
    <row r="71" spans="1:6" s="154" customFormat="1" ht="30" customHeight="1" x14ac:dyDescent="0.25">
      <c r="A71" s="324"/>
      <c r="B71" s="383" t="s">
        <v>371</v>
      </c>
      <c r="C71" s="384" t="s">
        <v>438</v>
      </c>
      <c r="D71" s="298" t="s">
        <v>439</v>
      </c>
      <c r="E71" s="303" t="str">
        <f>IF(E10="","Preencher 1",
IF(AND(E10="Sim",E12=""),"Preencher 2",
IF(AND(E10="Sim",OR(E12="Renovação de operação de loteamento com obras de urbanização",E12="Operação de loteamento com execução das obras de urbanização por fases (conforme parâmetros de cada fase)"),E14=""),"Preencher 3",
IF(AND(E10="Sim",OR(E12="Renovação de operação de loteamento com obras de urbanização",E12="Operação de loteamento com execução das obras de urbanização por fases (conforme parâmetros de cada fase)"),E14&gt;0,E56=0),"Preencher 5",
IF(AND(E10="Sim",OR(E12="Renovação de operação de loteamento com obras de urbanização",E12="Operação de loteamento com execução das obras de urbanização por fases (conforme parâmetros de cada fase)"),E14&gt;0,E56&gt;0),'SIMULADOR_TAXAS ADMINISTRATIVAS'!D56,
IF(AND(E10="Sim",NOT(OR(E12="Renovação de operação de loteamento com obras de urbanização",E12="Operação de loteamento com execução das obras de urbanização por fases (conforme parâmetros de cada fase)"))),"Não se aplica",
IF(E10="Não","Não se aplica","")))))))</f>
        <v>Preencher 1</v>
      </c>
      <c r="F71" s="324"/>
    </row>
    <row r="72" spans="1:6" s="154" customFormat="1" ht="15.75" customHeight="1" x14ac:dyDescent="0.25">
      <c r="A72" s="324"/>
      <c r="B72" s="362"/>
      <c r="C72" s="298"/>
      <c r="D72" s="269"/>
      <c r="E72" s="303"/>
      <c r="F72" s="324"/>
    </row>
    <row r="73" spans="1:6" s="197" customFormat="1" ht="45" customHeight="1" x14ac:dyDescent="0.25">
      <c r="A73" s="381"/>
      <c r="B73" s="386" t="s">
        <v>357</v>
      </c>
      <c r="C73" s="295" t="s">
        <v>377</v>
      </c>
      <c r="D73" s="305" t="s">
        <v>378</v>
      </c>
      <c r="E73" s="297" t="str">
        <f>IF(E87="","Para simular a taxa aplicável, deve preencher os campos do formulário de acordo com a operação urbanística",IF(AND(E87&gt;0,E16=""),"Preencher 4",IF(AND(E87&gt;0,E16&lt;&gt;""),TRIU_LOTEAMENTO!B16,IF(AND(E87&lt;=0, E16&lt;&gt;"",TRIU_LOTEAMENTO!B16=0),"Não se aplica"))))</f>
        <v>Para simular a taxa aplicável, deve preencher os campos do formulário de acordo com a operação urbanística</v>
      </c>
      <c r="F73" s="381"/>
    </row>
    <row r="74" spans="1:6" ht="15.75" customHeight="1" x14ac:dyDescent="0.25">
      <c r="A74" s="273"/>
      <c r="B74" s="362"/>
      <c r="C74" s="298" t="s">
        <v>379</v>
      </c>
      <c r="D74" s="273"/>
      <c r="E74" s="274"/>
      <c r="F74" s="273"/>
    </row>
    <row r="75" spans="1:6" ht="15.75" customHeight="1" x14ac:dyDescent="0.25">
      <c r="A75" s="273"/>
      <c r="B75" s="362"/>
      <c r="C75" s="298"/>
      <c r="D75" s="273"/>
      <c r="E75" s="274"/>
      <c r="F75" s="273"/>
    </row>
    <row r="76" spans="1:6" ht="45" x14ac:dyDescent="0.25">
      <c r="A76" s="273"/>
      <c r="B76" s="307" t="s">
        <v>357</v>
      </c>
      <c r="C76" s="326" t="s">
        <v>380</v>
      </c>
      <c r="D76" s="273"/>
      <c r="E76" s="312" t="str">
        <f>IF(OR(E66="Para simular a taxa aplicável, deve preencher os campos do formulário de acordo com a operação urbanística",E73="Para simular a taxa aplicável, deve preencher os campos do formulário de acordo com a operação urbanística"),"Para apurar valor, deve preencher os campos do formulário de acordo com a operação urbanística",IF(AND(E66="Não se aplica",E73="Não se aplica"),"Não se aplica",IF(SUM(E66,E73)&gt;0,SUM(E66,E73),IF(OR(E66="Não se aplica",E73="Não se aplica"),"Para apurar valor, deve preencher os campos do formulário de acordo com a operação urbanística"))))</f>
        <v>Para apurar valor, deve preencher os campos do formulário de acordo com a operação urbanística</v>
      </c>
      <c r="F76" s="273"/>
    </row>
    <row r="77" spans="1:6" ht="15.75" customHeight="1" x14ac:dyDescent="0.25">
      <c r="A77" s="273"/>
      <c r="B77" s="362"/>
      <c r="C77" s="275"/>
      <c r="D77" s="273"/>
      <c r="E77" s="274"/>
      <c r="F77" s="273"/>
    </row>
    <row r="78" spans="1:6" s="151" customFormat="1" ht="24.95" customHeight="1" x14ac:dyDescent="0.25">
      <c r="A78" s="291"/>
      <c r="B78" s="145" t="s">
        <v>70</v>
      </c>
      <c r="C78" s="149"/>
      <c r="D78" s="150"/>
      <c r="E78" s="157"/>
      <c r="F78" s="291"/>
    </row>
    <row r="79" spans="1:6" s="151" customFormat="1" ht="15.75" customHeight="1" x14ac:dyDescent="0.25">
      <c r="A79" s="291"/>
      <c r="B79" s="272"/>
      <c r="C79" s="291"/>
      <c r="D79" s="292"/>
      <c r="E79" s="293"/>
      <c r="F79" s="291"/>
    </row>
    <row r="80" spans="1:6" s="152" customFormat="1" ht="15.75" customHeight="1" x14ac:dyDescent="0.25">
      <c r="A80" s="323"/>
      <c r="B80" s="314" t="s">
        <v>381</v>
      </c>
      <c r="C80" s="304" t="s">
        <v>382</v>
      </c>
      <c r="D80" s="315"/>
      <c r="E80" s="316">
        <f>TABELAS_COEFICIENTES!B2</f>
        <v>94.08</v>
      </c>
      <c r="F80" s="323"/>
    </row>
    <row r="81" spans="1:6" s="152" customFormat="1" ht="15.75" customHeight="1" x14ac:dyDescent="0.25">
      <c r="A81" s="323"/>
      <c r="B81" s="314" t="s">
        <v>383</v>
      </c>
      <c r="C81" s="304" t="s">
        <v>384</v>
      </c>
      <c r="D81" s="315"/>
      <c r="E81" s="316">
        <f>TABELAS_COEFICIENTES!B4</f>
        <v>23.52</v>
      </c>
      <c r="F81" s="323"/>
    </row>
    <row r="82" spans="1:6" s="152" customFormat="1" ht="15.75" customHeight="1" x14ac:dyDescent="0.25">
      <c r="A82" s="323"/>
      <c r="B82" s="314" t="s">
        <v>385</v>
      </c>
      <c r="C82" s="304" t="s">
        <v>386</v>
      </c>
      <c r="D82" s="315"/>
      <c r="E82" s="316">
        <f>TABELAS_COEFICIENTES!B5</f>
        <v>20.23</v>
      </c>
      <c r="F82" s="323"/>
    </row>
    <row r="83" spans="1:6" s="152" customFormat="1" x14ac:dyDescent="0.25">
      <c r="A83" s="323"/>
      <c r="B83" s="580" t="s">
        <v>387</v>
      </c>
      <c r="C83" s="587" t="s">
        <v>440</v>
      </c>
      <c r="D83" s="588"/>
      <c r="E83" s="589" t="str">
        <f>IF(E56=0,"",IF(E56&lt;=150,"1",IF(E56&lt;=600,"1,6",IF(E56&lt;=1200,"2,2",IF(E56&lt;=2500,"3",IF(E56&lt;=5000,"4",IF(E56&lt;=10000,"5",IF(E56&lt;=20000,"6",IF(E56&lt;=40000,"7",IF(E56&lt;=80000,"8",IF(E56&lt;=160000,"9",IF(E56&gt;160000,"10"))))))))))))</f>
        <v/>
      </c>
      <c r="F83" s="323"/>
    </row>
    <row r="84" spans="1:6" s="152" customFormat="1" x14ac:dyDescent="0.25">
      <c r="A84" s="323"/>
      <c r="B84" s="580"/>
      <c r="C84" s="587"/>
      <c r="D84" s="588"/>
      <c r="E84" s="589"/>
      <c r="F84" s="323"/>
    </row>
    <row r="85" spans="1:6" s="152" customFormat="1" ht="15.75" customHeight="1" x14ac:dyDescent="0.25">
      <c r="A85" s="323"/>
      <c r="B85" s="314" t="s">
        <v>390</v>
      </c>
      <c r="C85" s="304" t="s">
        <v>391</v>
      </c>
      <c r="D85" s="315"/>
      <c r="E85" s="301">
        <v>2</v>
      </c>
      <c r="F85" s="323"/>
    </row>
    <row r="86" spans="1:6" s="152" customFormat="1" ht="15.75" customHeight="1" x14ac:dyDescent="0.25">
      <c r="A86" s="323"/>
      <c r="B86" s="314" t="s">
        <v>392</v>
      </c>
      <c r="C86" s="304" t="s">
        <v>393</v>
      </c>
      <c r="D86" s="315"/>
      <c r="E86" s="301" t="str">
        <f>IF(E16="","",IF(E16="Espaços a Consolidar","3",IF(E16="Espaços Consolidados","4")))</f>
        <v/>
      </c>
      <c r="F86" s="323"/>
    </row>
    <row r="87" spans="1:6" s="152" customFormat="1" ht="15.75" customHeight="1" x14ac:dyDescent="0.25">
      <c r="A87" s="323"/>
      <c r="B87" s="314" t="s">
        <v>394</v>
      </c>
      <c r="C87" s="304" t="s">
        <v>395</v>
      </c>
      <c r="D87" s="315"/>
      <c r="E87" s="301" t="str">
        <f>IF(E56=0,"",IF(SUM(E56-D56)&lt;0,"",E56-D56))</f>
        <v/>
      </c>
      <c r="F87" s="323"/>
    </row>
    <row r="88" spans="1:6" s="152" customFormat="1" ht="15.75" customHeight="1" x14ac:dyDescent="0.25">
      <c r="A88" s="323"/>
      <c r="B88" s="314" t="s">
        <v>396</v>
      </c>
      <c r="C88" s="304" t="s">
        <v>397</v>
      </c>
      <c r="D88" s="315"/>
      <c r="E88" s="301" t="str">
        <f>IF(E14="","",E14)</f>
        <v/>
      </c>
      <c r="F88" s="323"/>
    </row>
    <row r="89" spans="1:6" s="152" customFormat="1" ht="15.75" customHeight="1" x14ac:dyDescent="0.25">
      <c r="A89" s="323"/>
      <c r="B89" s="359"/>
      <c r="C89" s="387"/>
      <c r="D89" s="361"/>
      <c r="E89" s="331"/>
      <c r="F89" s="323"/>
    </row>
    <row r="90" spans="1:6" ht="15.75" customHeight="1" x14ac:dyDescent="0.25">
      <c r="A90" s="273"/>
      <c r="B90" s="267"/>
      <c r="C90" s="319"/>
      <c r="D90" s="319"/>
      <c r="E90" s="319"/>
      <c r="F90" s="319"/>
    </row>
    <row r="91" spans="1:6" ht="15.75" customHeight="1" x14ac:dyDescent="0.25">
      <c r="A91" s="273"/>
      <c r="B91" s="301" t="s">
        <v>276</v>
      </c>
      <c r="C91" s="314" t="s">
        <v>277</v>
      </c>
      <c r="D91" s="319"/>
      <c r="E91" s="319"/>
      <c r="F91" s="319"/>
    </row>
    <row r="92" spans="1:6" ht="15.75" customHeight="1" x14ac:dyDescent="0.25">
      <c r="A92" s="273"/>
      <c r="B92" s="267"/>
      <c r="C92" s="306" t="s">
        <v>278</v>
      </c>
      <c r="D92" s="273"/>
      <c r="E92" s="274"/>
      <c r="F92" s="273"/>
    </row>
    <row r="93" spans="1:6" ht="15.75" customHeight="1" x14ac:dyDescent="0.25">
      <c r="A93" s="273"/>
      <c r="B93" s="267"/>
      <c r="C93" s="304" t="s">
        <v>279</v>
      </c>
      <c r="D93" s="273"/>
      <c r="E93" s="274"/>
      <c r="F93" s="273"/>
    </row>
    <row r="94" spans="1:6" ht="15.75" customHeight="1" x14ac:dyDescent="0.25">
      <c r="A94" s="273"/>
      <c r="B94" s="267"/>
      <c r="C94" s="304" t="s">
        <v>280</v>
      </c>
      <c r="D94" s="273"/>
      <c r="E94" s="274"/>
      <c r="F94" s="273"/>
    </row>
    <row r="95" spans="1:6" ht="15.75" customHeight="1" x14ac:dyDescent="0.25">
      <c r="A95" s="273"/>
      <c r="B95" s="267"/>
      <c r="C95" s="302" t="s">
        <v>281</v>
      </c>
      <c r="D95" s="273"/>
      <c r="E95" s="274"/>
      <c r="F95" s="273"/>
    </row>
    <row r="96" spans="1:6" ht="15.75" customHeight="1" x14ac:dyDescent="0.25">
      <c r="A96" s="273"/>
      <c r="B96" s="362"/>
      <c r="C96" s="275"/>
      <c r="D96" s="273"/>
      <c r="E96" s="274"/>
      <c r="F96" s="273"/>
    </row>
    <row r="97" spans="2:5" ht="15.75" hidden="1" customHeight="1" x14ac:dyDescent="0.25"/>
    <row r="98" spans="2:5" s="161" customFormat="1" ht="15.75" hidden="1" customHeight="1" x14ac:dyDescent="0.25">
      <c r="B98" s="165"/>
      <c r="C98" s="170" t="s">
        <v>441</v>
      </c>
      <c r="E98" s="171"/>
    </row>
    <row r="99" spans="2:5" s="161" customFormat="1" hidden="1" x14ac:dyDescent="0.25">
      <c r="B99" s="165"/>
      <c r="C99" s="172" t="s">
        <v>442</v>
      </c>
      <c r="E99" s="171"/>
    </row>
    <row r="100" spans="2:5" s="161" customFormat="1" ht="15.75" hidden="1" customHeight="1" x14ac:dyDescent="0.25">
      <c r="B100" s="165"/>
      <c r="C100" s="172" t="s">
        <v>443</v>
      </c>
      <c r="E100" s="171"/>
    </row>
    <row r="101" spans="2:5" s="161" customFormat="1" ht="15.75" hidden="1" customHeight="1" x14ac:dyDescent="0.25">
      <c r="B101" s="165"/>
      <c r="C101" s="172" t="s">
        <v>444</v>
      </c>
      <c r="E101" s="171"/>
    </row>
    <row r="102" spans="2:5" s="161" customFormat="1" ht="15.75" hidden="1" customHeight="1" x14ac:dyDescent="0.25">
      <c r="B102" s="165"/>
      <c r="C102" s="172" t="s">
        <v>445</v>
      </c>
      <c r="E102" s="171"/>
    </row>
    <row r="103" spans="2:5" s="161" customFormat="1" ht="15.75" hidden="1" customHeight="1" x14ac:dyDescent="0.25">
      <c r="B103" s="165"/>
      <c r="C103" s="172" t="s">
        <v>446</v>
      </c>
      <c r="E103" s="171"/>
    </row>
  </sheetData>
  <sheetProtection algorithmName="SHA-512" hashValue="sWMaIEFfHA6rKCh9HNxHlhOtn06VRZjRTHV5nUNGPLl7PkXQh+JuKbvETZpdm/sMtyF+YEnUNvIGEYIf2yYxeg==" saltValue="TwWeFSlvgAE1wHYf07kOFA==" spinCount="100000" sheet="1" objects="1" scenarios="1" selectLockedCells="1"/>
  <mergeCells count="7">
    <mergeCell ref="B83:B84"/>
    <mergeCell ref="D4:E4"/>
    <mergeCell ref="D2:E2"/>
    <mergeCell ref="D6:E6"/>
    <mergeCell ref="C83:C84"/>
    <mergeCell ref="D83:D84"/>
    <mergeCell ref="E83:E84"/>
  </mergeCells>
  <conditionalFormatting sqref="D2 D4">
    <cfRule type="containsBlanks" dxfId="42" priority="6">
      <formula>LEN(TRIM(D2))=0</formula>
    </cfRule>
  </conditionalFormatting>
  <conditionalFormatting sqref="D45:E45 D47:E54 E61">
    <cfRule type="containsBlanks" dxfId="41" priority="5">
      <formula>LEN(TRIM(D45))=0</formula>
    </cfRule>
  </conditionalFormatting>
  <conditionalFormatting sqref="E10 E12 E14 E16">
    <cfRule type="containsBlanks" dxfId="40" priority="1">
      <formula>LEN(TRIM(E10))=0</formula>
    </cfRule>
  </conditionalFormatting>
  <dataValidations count="11">
    <dataValidation type="whole" operator="greaterThan" allowBlank="1" showInputMessage="1" showErrorMessage="1" error="Deve inserir um número inteiro" sqref="E62:F63 D37:E41" xr:uid="{8C120F89-BA54-470C-9AFE-D0B6CE6DBE24}">
      <formula1>0</formula1>
    </dataValidation>
    <dataValidation type="list" allowBlank="1" showInputMessage="1" showErrorMessage="1" sqref="E16" xr:uid="{A3E2FBEC-DAD2-4EA9-95E1-B4A61AE804D8}">
      <formula1>"Espaços a consolidar, Espaços consolidados"</formula1>
    </dataValidation>
    <dataValidation type="custom" allowBlank="1" showInputMessage="1" showErrorMessage="1" sqref="E64 E80" xr:uid="{31E4BC19-3D37-4658-A8DF-A0C4925B28E3}">
      <formula1>OR(#REF!&lt;&gt;"Sem demolição",E64=" ")</formula1>
    </dataValidation>
    <dataValidation type="list" allowBlank="1" showInputMessage="1" showErrorMessage="1" sqref="E16" xr:uid="{C47E1F8F-EC85-4379-A704-8D9663FE053E}">
      <formula1>"Espaços a Consolidar, Espaços Consolidados"</formula1>
    </dataValidation>
    <dataValidation type="list" allowBlank="1" showInputMessage="1" showErrorMessage="1" sqref="E10" xr:uid="{328CF327-BCDE-4FE3-B930-A2F81C8A9855}">
      <formula1>"Sim,Não"</formula1>
    </dataValidation>
    <dataValidation type="list" allowBlank="1" showInputMessage="1" showErrorMessage="1" sqref="E12" xr:uid="{BE5BCF46-0495-4001-A3E6-66F2B1EFB6FC}">
      <formula1>$C$98:$C$103</formula1>
    </dataValidation>
    <dataValidation type="whole" allowBlank="1" showInputMessage="1" showErrorMessage="1" sqref="E17:E19" xr:uid="{610F2EA1-108F-425B-8C6C-B6E138313239}">
      <formula1>0</formula1>
      <formula2>30</formula2>
    </dataValidation>
    <dataValidation type="custom" allowBlank="1" showInputMessage="1" showErrorMessage="1" sqref="E81:E82" xr:uid="{8D55D71A-7C39-4F4E-BA04-03B77C47583B}">
      <formula1>OR(E78&lt;&gt;"Sem demolição",E81=" ")</formula1>
    </dataValidation>
    <dataValidation type="whole" operator="greaterThan" allowBlank="1" showInputMessage="1" showErrorMessage="1" errorTitle="Valor inválido" error="Apenas são admitidos valores numéricos inteiros que correspondam ao prazo em meses de execução da obra." prompt="Indique o prazo (em meses) para a execução da obra" sqref="E14" xr:uid="{7C3415B6-96B4-4A3C-9D4F-444E0AD28497}">
      <formula1>0</formula1>
    </dataValidation>
    <dataValidation type="custom" allowBlank="1" showInputMessage="1" showErrorMessage="1" sqref="E78:E79" xr:uid="{98C6319A-E5E9-499D-B138-F892C9D97A60}">
      <formula1>OR(E73&lt;&gt;"Sem demolição",E78=" ")</formula1>
    </dataValidation>
    <dataValidation type="custom" operator="greaterThanOrEqual" allowBlank="1" showInputMessage="1" showErrorMessage="1" errorTitle="Valor inválido" error="Apenas são admitidos valores numéricos com um máximo de duas casas decimais." sqref="D45:E45 D47:E54 E61" xr:uid="{409743C7-B511-4A7F-8166-9326F372B02F}">
      <formula1>ROUND(D45,2)=D45</formula1>
    </dataValidation>
  </dataValidations>
  <hyperlinks>
    <hyperlink ref="C17" r:id="rId1" display="Para identificar a categoria de Espaço Urbano em que se encontra inserida a operação urbanistica consulte a Planta de Ordenamento - Qualificação do Espaço Urbano em:" xr:uid="{97C8E4B4-FB48-429C-B8A2-2E1E19760D7F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horizontalDpi="4294967293" verticalDpi="4294967293" r:id="rId2"/>
  <headerFooter>
    <oddFooter>&amp;L&amp;F&amp;RPágina &amp;P de 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A150-885A-4DDA-9D94-4198DB4C36C7}">
  <sheetPr codeName="Folha8">
    <tabColor theme="5"/>
    <pageSetUpPr fitToPage="1"/>
  </sheetPr>
  <dimension ref="A1:H92"/>
  <sheetViews>
    <sheetView showGridLines="0" zoomScale="90" zoomScaleNormal="90" workbookViewId="0">
      <selection activeCell="E2" sqref="E2:G2"/>
    </sheetView>
  </sheetViews>
  <sheetFormatPr defaultColWidth="5.5703125" defaultRowHeight="15.75" customHeight="1" x14ac:dyDescent="0.25"/>
  <cols>
    <col min="1" max="1" width="2.5703125" style="143" customWidth="1"/>
    <col min="2" max="2" width="6.5703125" style="142" customWidth="1"/>
    <col min="3" max="3" width="126.5703125" style="155" customWidth="1"/>
    <col min="4" max="4" width="12.5703125" style="155" customWidth="1"/>
    <col min="5" max="5" width="40.5703125" style="143" customWidth="1"/>
    <col min="6" max="6" width="12.5703125" style="143" customWidth="1"/>
    <col min="7" max="7" width="40.5703125" style="156" customWidth="1"/>
    <col min="8" max="8" width="2.5703125" style="143" customWidth="1"/>
    <col min="9" max="16384" width="5.5703125" style="143"/>
  </cols>
  <sheetData>
    <row r="1" spans="1:8" ht="15.75" customHeight="1" x14ac:dyDescent="0.25">
      <c r="A1" s="273"/>
      <c r="B1" s="267"/>
      <c r="C1" s="268"/>
      <c r="D1" s="268"/>
      <c r="E1" s="269"/>
      <c r="F1" s="269"/>
      <c r="G1" s="270"/>
      <c r="H1" s="273"/>
    </row>
    <row r="2" spans="1:8" ht="15.75" customHeight="1" x14ac:dyDescent="0.25">
      <c r="A2" s="273"/>
      <c r="B2" s="267"/>
      <c r="C2" s="271"/>
      <c r="D2" s="271" t="s">
        <v>282</v>
      </c>
      <c r="E2" s="582"/>
      <c r="F2" s="582"/>
      <c r="G2" s="582"/>
      <c r="H2" s="273"/>
    </row>
    <row r="3" spans="1:8" ht="15.75" customHeight="1" x14ac:dyDescent="0.25">
      <c r="A3" s="273"/>
      <c r="B3" s="267"/>
      <c r="C3" s="271"/>
      <c r="D3" s="271"/>
      <c r="E3" s="269"/>
      <c r="F3" s="269"/>
      <c r="G3" s="270"/>
      <c r="H3" s="273"/>
    </row>
    <row r="4" spans="1:8" ht="15.75" customHeight="1" x14ac:dyDescent="0.25">
      <c r="A4" s="273"/>
      <c r="B4" s="267"/>
      <c r="C4" s="271"/>
      <c r="D4" s="271" t="s">
        <v>283</v>
      </c>
      <c r="E4" s="582"/>
      <c r="F4" s="582"/>
      <c r="G4" s="582"/>
      <c r="H4" s="273"/>
    </row>
    <row r="5" spans="1:8" ht="15.75" customHeight="1" x14ac:dyDescent="0.25">
      <c r="A5" s="273"/>
      <c r="B5" s="267"/>
      <c r="C5" s="271"/>
      <c r="D5" s="271"/>
      <c r="E5" s="269"/>
      <c r="F5" s="269"/>
      <c r="G5" s="270"/>
      <c r="H5" s="273"/>
    </row>
    <row r="6" spans="1:8" ht="15.75" customHeight="1" x14ac:dyDescent="0.25">
      <c r="A6" s="273"/>
      <c r="B6" s="267"/>
      <c r="C6" s="271"/>
      <c r="D6" s="271" t="s">
        <v>284</v>
      </c>
      <c r="E6" s="583">
        <f ca="1">NOW()</f>
        <v>46178.662026273145</v>
      </c>
      <c r="F6" s="583"/>
      <c r="G6" s="583"/>
      <c r="H6" s="273"/>
    </row>
    <row r="7" spans="1:8" ht="15.75" customHeight="1" x14ac:dyDescent="0.25">
      <c r="A7" s="273"/>
      <c r="B7" s="267"/>
      <c r="C7" s="268"/>
      <c r="D7" s="268"/>
      <c r="E7" s="269"/>
      <c r="F7" s="269"/>
      <c r="G7" s="270"/>
      <c r="H7" s="273"/>
    </row>
    <row r="8" spans="1:8" ht="24.95" customHeight="1" x14ac:dyDescent="0.25">
      <c r="A8" s="273"/>
      <c r="B8" s="145" t="s">
        <v>266</v>
      </c>
      <c r="C8" s="145"/>
      <c r="D8" s="145"/>
      <c r="E8" s="146"/>
      <c r="F8" s="146"/>
      <c r="G8" s="147"/>
      <c r="H8" s="273"/>
    </row>
    <row r="9" spans="1:8" ht="15.75" customHeight="1" x14ac:dyDescent="0.25">
      <c r="A9" s="273"/>
      <c r="B9" s="267"/>
      <c r="C9" s="275"/>
      <c r="D9" s="275"/>
      <c r="E9" s="273"/>
      <c r="F9" s="273"/>
      <c r="G9" s="274"/>
      <c r="H9" s="273"/>
    </row>
    <row r="10" spans="1:8" x14ac:dyDescent="0.25">
      <c r="A10" s="273"/>
      <c r="B10" s="271">
        <v>1</v>
      </c>
      <c r="C10" s="276" t="s">
        <v>447</v>
      </c>
      <c r="D10" s="276"/>
      <c r="E10" s="269"/>
      <c r="F10" s="269"/>
      <c r="G10" s="391"/>
      <c r="H10" s="273"/>
    </row>
    <row r="11" spans="1:8" x14ac:dyDescent="0.25">
      <c r="A11" s="273"/>
      <c r="B11" s="271"/>
      <c r="C11" s="278"/>
      <c r="D11" s="278"/>
      <c r="E11" s="269"/>
      <c r="F11" s="269"/>
      <c r="G11" s="270"/>
      <c r="H11" s="273"/>
    </row>
    <row r="12" spans="1:8" x14ac:dyDescent="0.25">
      <c r="A12" s="273"/>
      <c r="B12" s="271">
        <v>2</v>
      </c>
      <c r="C12" s="276" t="s">
        <v>448</v>
      </c>
      <c r="D12" s="276"/>
      <c r="E12" s="269"/>
      <c r="F12" s="269"/>
      <c r="G12" s="391"/>
      <c r="H12" s="273"/>
    </row>
    <row r="13" spans="1:8" x14ac:dyDescent="0.25">
      <c r="A13" s="273"/>
      <c r="B13" s="271"/>
      <c r="C13" s="276"/>
      <c r="D13" s="276"/>
      <c r="E13" s="269"/>
      <c r="F13" s="269"/>
      <c r="G13" s="280"/>
      <c r="H13" s="273"/>
    </row>
    <row r="14" spans="1:8" x14ac:dyDescent="0.25">
      <c r="A14" s="273"/>
      <c r="B14" s="271">
        <v>3</v>
      </c>
      <c r="C14" s="276" t="s">
        <v>449</v>
      </c>
      <c r="D14" s="276"/>
      <c r="E14" s="269"/>
      <c r="F14" s="269"/>
      <c r="G14" s="391"/>
      <c r="H14" s="273"/>
    </row>
    <row r="15" spans="1:8" x14ac:dyDescent="0.25">
      <c r="A15" s="273"/>
      <c r="B15" s="271"/>
      <c r="C15" s="279"/>
      <c r="D15" s="279"/>
      <c r="E15" s="269"/>
      <c r="F15" s="269"/>
      <c r="G15" s="280"/>
      <c r="H15" s="273"/>
    </row>
    <row r="16" spans="1:8" x14ac:dyDescent="0.25">
      <c r="A16" s="273"/>
      <c r="B16" s="271">
        <v>4</v>
      </c>
      <c r="C16" s="276" t="s">
        <v>290</v>
      </c>
      <c r="D16" s="276"/>
      <c r="E16" s="269"/>
      <c r="F16" s="269"/>
      <c r="G16" s="391"/>
      <c r="H16" s="273"/>
    </row>
    <row r="17" spans="1:8" x14ac:dyDescent="0.2">
      <c r="A17" s="273"/>
      <c r="B17" s="280"/>
      <c r="C17" s="281" t="s">
        <v>291</v>
      </c>
      <c r="D17" s="390"/>
      <c r="E17" s="269"/>
      <c r="F17" s="269"/>
      <c r="G17" s="280"/>
      <c r="H17" s="273"/>
    </row>
    <row r="18" spans="1:8" x14ac:dyDescent="0.25">
      <c r="A18" s="273"/>
      <c r="B18" s="280"/>
      <c r="C18" s="282"/>
      <c r="D18" s="282"/>
      <c r="E18" s="269"/>
      <c r="F18" s="269"/>
      <c r="G18" s="283"/>
      <c r="H18" s="273"/>
    </row>
    <row r="19" spans="1:8" ht="35.1" customHeight="1" x14ac:dyDescent="0.25">
      <c r="A19" s="273"/>
      <c r="B19" s="284">
        <v>5</v>
      </c>
      <c r="C19" s="285" t="s">
        <v>450</v>
      </c>
      <c r="D19" s="590" t="s">
        <v>293</v>
      </c>
      <c r="E19" s="591"/>
      <c r="F19" s="592" t="s">
        <v>294</v>
      </c>
      <c r="G19" s="593"/>
      <c r="H19" s="273"/>
    </row>
    <row r="20" spans="1:8" ht="16.5" x14ac:dyDescent="0.25">
      <c r="A20" s="273"/>
      <c r="B20" s="280"/>
      <c r="C20" s="286" t="s">
        <v>312</v>
      </c>
      <c r="D20" s="87" t="s">
        <v>451</v>
      </c>
      <c r="E20" s="325" t="s">
        <v>313</v>
      </c>
      <c r="F20" s="87" t="s">
        <v>451</v>
      </c>
      <c r="G20" s="87" t="s">
        <v>313</v>
      </c>
      <c r="H20" s="273"/>
    </row>
    <row r="21" spans="1:8" x14ac:dyDescent="0.25">
      <c r="A21" s="273"/>
      <c r="B21" s="280"/>
      <c r="C21" s="287" t="s">
        <v>314</v>
      </c>
      <c r="D21" s="347"/>
      <c r="E21" s="340"/>
      <c r="F21" s="347"/>
      <c r="G21" s="340"/>
      <c r="H21" s="273"/>
    </row>
    <row r="22" spans="1:8" x14ac:dyDescent="0.25">
      <c r="A22" s="273"/>
      <c r="B22" s="280"/>
      <c r="C22" s="287" t="s">
        <v>315</v>
      </c>
      <c r="D22" s="347"/>
      <c r="E22" s="340"/>
      <c r="F22" s="347"/>
      <c r="G22" s="340"/>
      <c r="H22" s="273"/>
    </row>
    <row r="23" spans="1:8" x14ac:dyDescent="0.25">
      <c r="A23" s="273"/>
      <c r="B23" s="280"/>
      <c r="C23" s="287" t="s">
        <v>316</v>
      </c>
      <c r="D23" s="347"/>
      <c r="E23" s="340"/>
      <c r="F23" s="347"/>
      <c r="G23" s="340"/>
      <c r="H23" s="273"/>
    </row>
    <row r="24" spans="1:8" x14ac:dyDescent="0.25">
      <c r="A24" s="273"/>
      <c r="B24" s="280"/>
      <c r="C24" s="287" t="s">
        <v>317</v>
      </c>
      <c r="D24" s="347"/>
      <c r="E24" s="340"/>
      <c r="F24" s="347"/>
      <c r="G24" s="340"/>
      <c r="H24" s="273"/>
    </row>
    <row r="25" spans="1:8" x14ac:dyDescent="0.25">
      <c r="A25" s="273"/>
      <c r="B25" s="280"/>
      <c r="C25" s="287" t="s">
        <v>318</v>
      </c>
      <c r="D25" s="347"/>
      <c r="E25" s="340"/>
      <c r="F25" s="347"/>
      <c r="G25" s="340"/>
      <c r="H25" s="273"/>
    </row>
    <row r="26" spans="1:8" x14ac:dyDescent="0.25">
      <c r="A26" s="273"/>
      <c r="B26" s="280"/>
      <c r="C26" s="286" t="s">
        <v>319</v>
      </c>
      <c r="D26" s="388"/>
      <c r="E26" s="377"/>
      <c r="F26" s="389"/>
      <c r="G26" s="378"/>
      <c r="H26" s="273"/>
    </row>
    <row r="27" spans="1:8" x14ac:dyDescent="0.25">
      <c r="A27" s="273"/>
      <c r="B27" s="280"/>
      <c r="C27" s="287" t="s">
        <v>320</v>
      </c>
      <c r="D27" s="347"/>
      <c r="E27" s="340"/>
      <c r="F27" s="347"/>
      <c r="G27" s="340"/>
      <c r="H27" s="273"/>
    </row>
    <row r="28" spans="1:8" x14ac:dyDescent="0.25">
      <c r="A28" s="273"/>
      <c r="B28" s="280"/>
      <c r="C28" s="287" t="s">
        <v>321</v>
      </c>
      <c r="D28" s="347"/>
      <c r="E28" s="340"/>
      <c r="F28" s="347"/>
      <c r="G28" s="340"/>
      <c r="H28" s="273"/>
    </row>
    <row r="29" spans="1:8" x14ac:dyDescent="0.25">
      <c r="A29" s="273"/>
      <c r="B29" s="280"/>
      <c r="C29" s="287" t="s">
        <v>322</v>
      </c>
      <c r="D29" s="347"/>
      <c r="E29" s="340"/>
      <c r="F29" s="347"/>
      <c r="G29" s="340"/>
      <c r="H29" s="273"/>
    </row>
    <row r="30" spans="1:8" x14ac:dyDescent="0.25">
      <c r="A30" s="273"/>
      <c r="B30" s="280"/>
      <c r="C30" s="287" t="s">
        <v>323</v>
      </c>
      <c r="D30" s="347"/>
      <c r="E30" s="340"/>
      <c r="F30" s="347"/>
      <c r="G30" s="340"/>
      <c r="H30" s="273"/>
    </row>
    <row r="31" spans="1:8" x14ac:dyDescent="0.25">
      <c r="A31" s="273"/>
      <c r="B31" s="280"/>
      <c r="C31" s="287" t="s">
        <v>318</v>
      </c>
      <c r="D31" s="347"/>
      <c r="E31" s="340"/>
      <c r="F31" s="347"/>
      <c r="G31" s="340"/>
      <c r="H31" s="273"/>
    </row>
    <row r="32" spans="1:8" x14ac:dyDescent="0.25">
      <c r="A32" s="273"/>
      <c r="B32" s="280"/>
      <c r="C32" s="286" t="s">
        <v>324</v>
      </c>
      <c r="D32" s="388"/>
      <c r="E32" s="377"/>
      <c r="F32" s="389"/>
      <c r="G32" s="378"/>
      <c r="H32" s="273"/>
    </row>
    <row r="33" spans="1:8" x14ac:dyDescent="0.25">
      <c r="A33" s="273"/>
      <c r="B33" s="280"/>
      <c r="C33" s="287" t="s">
        <v>325</v>
      </c>
      <c r="D33" s="347"/>
      <c r="E33" s="340"/>
      <c r="F33" s="347"/>
      <c r="G33" s="340"/>
      <c r="H33" s="273"/>
    </row>
    <row r="34" spans="1:8" x14ac:dyDescent="0.25">
      <c r="A34" s="273"/>
      <c r="B34" s="280"/>
      <c r="C34" s="287" t="s">
        <v>326</v>
      </c>
      <c r="D34" s="347"/>
      <c r="E34" s="340"/>
      <c r="F34" s="347"/>
      <c r="G34" s="340"/>
      <c r="H34" s="273"/>
    </row>
    <row r="35" spans="1:8" x14ac:dyDescent="0.25">
      <c r="A35" s="273"/>
      <c r="B35" s="280"/>
      <c r="C35" s="287" t="s">
        <v>327</v>
      </c>
      <c r="D35" s="347"/>
      <c r="E35" s="340"/>
      <c r="F35" s="347"/>
      <c r="G35" s="340"/>
      <c r="H35" s="273"/>
    </row>
    <row r="36" spans="1:8" x14ac:dyDescent="0.25">
      <c r="A36" s="273"/>
      <c r="B36" s="280"/>
      <c r="C36" s="287" t="s">
        <v>328</v>
      </c>
      <c r="D36" s="347"/>
      <c r="E36" s="340"/>
      <c r="F36" s="347"/>
      <c r="G36" s="340"/>
      <c r="H36" s="273"/>
    </row>
    <row r="37" spans="1:8" x14ac:dyDescent="0.25">
      <c r="A37" s="273"/>
      <c r="B37" s="280"/>
      <c r="C37" s="287" t="s">
        <v>329</v>
      </c>
      <c r="D37" s="347"/>
      <c r="E37" s="340"/>
      <c r="F37" s="347"/>
      <c r="G37" s="340"/>
      <c r="H37" s="273"/>
    </row>
    <row r="38" spans="1:8" x14ac:dyDescent="0.25">
      <c r="A38" s="273"/>
      <c r="B38" s="280"/>
      <c r="C38" s="287" t="s">
        <v>330</v>
      </c>
      <c r="D38" s="347"/>
      <c r="E38" s="340"/>
      <c r="F38" s="347"/>
      <c r="G38" s="340"/>
      <c r="H38" s="273"/>
    </row>
    <row r="39" spans="1:8" x14ac:dyDescent="0.25">
      <c r="A39" s="273"/>
      <c r="B39" s="280"/>
      <c r="C39" s="287" t="s">
        <v>318</v>
      </c>
      <c r="D39" s="347"/>
      <c r="E39" s="340"/>
      <c r="F39" s="347"/>
      <c r="G39" s="340"/>
      <c r="H39" s="273"/>
    </row>
    <row r="40" spans="1:8" x14ac:dyDescent="0.25">
      <c r="A40" s="273"/>
      <c r="B40" s="280"/>
      <c r="C40" s="286" t="s">
        <v>330</v>
      </c>
      <c r="D40" s="388"/>
      <c r="E40" s="377"/>
      <c r="F40" s="389"/>
      <c r="G40" s="378"/>
      <c r="H40" s="273"/>
    </row>
    <row r="41" spans="1:8" x14ac:dyDescent="0.25">
      <c r="A41" s="273"/>
      <c r="B41" s="280"/>
      <c r="C41" s="287" t="s">
        <v>331</v>
      </c>
      <c r="D41" s="347"/>
      <c r="E41" s="340"/>
      <c r="F41" s="347"/>
      <c r="G41" s="340"/>
      <c r="H41" s="273"/>
    </row>
    <row r="42" spans="1:8" x14ac:dyDescent="0.25">
      <c r="A42" s="273"/>
      <c r="B42" s="280"/>
      <c r="C42" s="287" t="s">
        <v>332</v>
      </c>
      <c r="D42" s="347"/>
      <c r="E42" s="340"/>
      <c r="F42" s="347"/>
      <c r="G42" s="340"/>
      <c r="H42" s="273"/>
    </row>
    <row r="43" spans="1:8" x14ac:dyDescent="0.25">
      <c r="A43" s="273"/>
      <c r="B43" s="280"/>
      <c r="C43" s="287" t="s">
        <v>333</v>
      </c>
      <c r="D43" s="347"/>
      <c r="E43" s="340"/>
      <c r="F43" s="347"/>
      <c r="G43" s="340"/>
      <c r="H43" s="273"/>
    </row>
    <row r="44" spans="1:8" x14ac:dyDescent="0.25">
      <c r="A44" s="273"/>
      <c r="B44" s="280"/>
      <c r="C44" s="287" t="s">
        <v>334</v>
      </c>
      <c r="D44" s="347"/>
      <c r="E44" s="340"/>
      <c r="F44" s="347"/>
      <c r="G44" s="340"/>
      <c r="H44" s="273"/>
    </row>
    <row r="45" spans="1:8" x14ac:dyDescent="0.25">
      <c r="A45" s="273"/>
      <c r="B45" s="280"/>
      <c r="C45" s="287" t="s">
        <v>335</v>
      </c>
      <c r="D45" s="347"/>
      <c r="E45" s="340"/>
      <c r="F45" s="347"/>
      <c r="G45" s="340"/>
      <c r="H45" s="273"/>
    </row>
    <row r="46" spans="1:8" x14ac:dyDescent="0.25">
      <c r="A46" s="273"/>
      <c r="B46" s="280"/>
      <c r="C46" s="287" t="s">
        <v>336</v>
      </c>
      <c r="D46" s="347"/>
      <c r="E46" s="340"/>
      <c r="F46" s="347"/>
      <c r="G46" s="340"/>
      <c r="H46" s="273"/>
    </row>
    <row r="47" spans="1:8" x14ac:dyDescent="0.25">
      <c r="A47" s="273"/>
      <c r="B47" s="280"/>
      <c r="C47" s="287" t="s">
        <v>337</v>
      </c>
      <c r="D47" s="347"/>
      <c r="E47" s="340"/>
      <c r="F47" s="347"/>
      <c r="G47" s="340"/>
      <c r="H47" s="273"/>
    </row>
    <row r="48" spans="1:8" x14ac:dyDescent="0.25">
      <c r="A48" s="273"/>
      <c r="B48" s="280"/>
      <c r="C48" s="287" t="s">
        <v>338</v>
      </c>
      <c r="D48" s="347"/>
      <c r="E48" s="340"/>
      <c r="F48" s="347"/>
      <c r="G48" s="340"/>
      <c r="H48" s="273"/>
    </row>
    <row r="49" spans="1:8" x14ac:dyDescent="0.25">
      <c r="A49" s="273"/>
      <c r="B49" s="280"/>
      <c r="C49" s="287" t="s">
        <v>318</v>
      </c>
      <c r="D49" s="347"/>
      <c r="E49" s="340"/>
      <c r="F49" s="347"/>
      <c r="G49" s="340"/>
      <c r="H49" s="273"/>
    </row>
    <row r="50" spans="1:8" x14ac:dyDescent="0.25">
      <c r="A50" s="273"/>
      <c r="B50" s="280"/>
      <c r="C50" s="286" t="s">
        <v>339</v>
      </c>
      <c r="D50" s="347"/>
      <c r="E50" s="340"/>
      <c r="F50" s="347"/>
      <c r="G50" s="340"/>
      <c r="H50" s="273"/>
    </row>
    <row r="51" spans="1:8" x14ac:dyDescent="0.25">
      <c r="A51" s="273"/>
      <c r="B51" s="280"/>
      <c r="C51" s="286" t="s">
        <v>340</v>
      </c>
      <c r="D51" s="347"/>
      <c r="E51" s="340"/>
      <c r="F51" s="347"/>
      <c r="G51" s="340"/>
      <c r="H51" s="273"/>
    </row>
    <row r="52" spans="1:8" x14ac:dyDescent="0.25">
      <c r="A52" s="273"/>
      <c r="B52" s="280"/>
      <c r="C52" s="286" t="s">
        <v>341</v>
      </c>
      <c r="D52" s="347"/>
      <c r="E52" s="340"/>
      <c r="F52" s="347"/>
      <c r="G52" s="340"/>
      <c r="H52" s="273"/>
    </row>
    <row r="53" spans="1:8" x14ac:dyDescent="0.25">
      <c r="A53" s="273"/>
      <c r="B53" s="280"/>
      <c r="C53" s="269"/>
      <c r="D53" s="269"/>
      <c r="E53" s="288"/>
      <c r="F53" s="288"/>
      <c r="G53" s="270"/>
      <c r="H53" s="273"/>
    </row>
    <row r="54" spans="1:8" x14ac:dyDescent="0.25">
      <c r="A54" s="273"/>
      <c r="B54" s="280"/>
      <c r="C54" s="282" t="s">
        <v>95</v>
      </c>
      <c r="D54" s="290">
        <f>SUM(D21:D25,D27:D31,D33:D39,D41:D52)</f>
        <v>0</v>
      </c>
      <c r="E54" s="289">
        <f>SUM(E21:E25,E27:E31,E33:E39,E41:E52)</f>
        <v>0</v>
      </c>
      <c r="F54" s="290">
        <f>SUM(F21:F25,F27:F31,F33:F39,F41:F52)</f>
        <v>0</v>
      </c>
      <c r="G54" s="289">
        <f>SUM(G21:G25,G27:G31,G33:G39,G41:G52)</f>
        <v>0</v>
      </c>
      <c r="H54" s="273"/>
    </row>
    <row r="55" spans="1:8" x14ac:dyDescent="0.25">
      <c r="A55" s="273"/>
      <c r="B55" s="280"/>
      <c r="C55" s="268"/>
      <c r="D55" s="268"/>
      <c r="E55" s="269"/>
      <c r="F55" s="269"/>
      <c r="G55" s="270"/>
      <c r="H55" s="273"/>
    </row>
    <row r="56" spans="1:8" s="151" customFormat="1" ht="24.95" customHeight="1" x14ac:dyDescent="0.25">
      <c r="A56" s="291"/>
      <c r="B56" s="145" t="s">
        <v>452</v>
      </c>
      <c r="C56" s="149"/>
      <c r="D56" s="149"/>
      <c r="E56" s="150"/>
      <c r="F56" s="150"/>
      <c r="G56" s="157"/>
      <c r="H56" s="291"/>
    </row>
    <row r="57" spans="1:8" s="151" customFormat="1" ht="15.95" customHeight="1" x14ac:dyDescent="0.25">
      <c r="A57" s="291"/>
      <c r="B57" s="272"/>
      <c r="C57" s="291"/>
      <c r="D57" s="291"/>
      <c r="E57" s="292"/>
      <c r="F57" s="292"/>
      <c r="G57" s="293"/>
      <c r="H57" s="291"/>
    </row>
    <row r="58" spans="1:8" s="152" customFormat="1" ht="45" customHeight="1" x14ac:dyDescent="0.25">
      <c r="A58" s="323"/>
      <c r="B58" s="294" t="s">
        <v>357</v>
      </c>
      <c r="C58" s="295" t="s">
        <v>91</v>
      </c>
      <c r="D58" s="295"/>
      <c r="E58" s="296"/>
      <c r="F58" s="296"/>
      <c r="G58" s="297" t="str">
        <f>IF(SUM(G60:G63)&gt;0,SUM(G60:G63),IF(AND(G60="Não se aplica",G61="Não se aplica",G62="Não se aplica",G63="Não se aplica"),"Não se aplica","Para simular a taxa aplicável, deve preencher os campos do formulário de acordo com a operação urbanística"))</f>
        <v>Para simular a taxa aplicável, deve preencher os campos do formulário de acordo com a operação urbanística</v>
      </c>
      <c r="H58" s="323"/>
    </row>
    <row r="59" spans="1:8" s="152" customFormat="1" x14ac:dyDescent="0.25">
      <c r="A59" s="323"/>
      <c r="B59" s="267"/>
      <c r="C59" s="298"/>
      <c r="D59" s="298"/>
      <c r="E59" s="299"/>
      <c r="F59" s="299"/>
      <c r="G59" s="300"/>
      <c r="H59" s="323"/>
    </row>
    <row r="60" spans="1:8" s="152" customFormat="1" x14ac:dyDescent="0.25">
      <c r="A60" s="323"/>
      <c r="B60" s="301" t="s">
        <v>360</v>
      </c>
      <c r="C60" s="304" t="s">
        <v>453</v>
      </c>
      <c r="D60" s="298"/>
      <c r="E60" s="382" t="s">
        <v>454</v>
      </c>
      <c r="F60" s="299"/>
      <c r="G60" s="482" t="str">
        <f>IF(G10=""," Preencher 1",
IF(G10="Utilização após operação urbanística sujeita a controlo prévio","Não se aplica",
IF(OR(G10="Alteração à utilização sem operação urbanística prévia",G10="Utilização após operação urbanística isenta de controlo prévio",G10="Licença de recinto"),'SIMULADOR_TAXAS ADMINISTRATIVAS'!D83)))</f>
        <v xml:space="preserve"> Preencher 1</v>
      </c>
      <c r="H60" s="323"/>
    </row>
    <row r="61" spans="1:8" s="154" customFormat="1" ht="15.95" customHeight="1" x14ac:dyDescent="0.25">
      <c r="A61" s="324"/>
      <c r="B61" s="301" t="s">
        <v>363</v>
      </c>
      <c r="C61" s="302" t="s">
        <v>455</v>
      </c>
      <c r="D61" s="302"/>
      <c r="E61" s="298" t="s">
        <v>456</v>
      </c>
      <c r="F61" s="298"/>
      <c r="G61" s="303" t="str">
        <f>IF(G10=""," Preencher 1",
IF(OR(G10="Utilização após operação urbanística sujeita a controlo prévio",G10="Licença de recinto"),"Não se aplica",
IF(AND(OR(G10="Alteração à utilização sem operação urbanística prévia",G10="Utilização após operação urbanística isenta de controlo prévio"),G12=""),"Preencher 2",
IF(AND(OR(G10="Alteração à utilização sem operação urbanística prévia",G10="Utilização após operação urbanística isenta de controlo prévio"),G12="Sim"),"Não se aplica",
IF(AND(OR(G10="Alteração à utilização sem operação urbanística prévia",G10="Utilização após operação urbanística isenta de controlo prévio"),G12="Não",G54&lt;=0),"Preencher 5",
IF(AND(OR(G10="Alteração à utilização sem operação urbanística prévia",G10="Utilização após operação urbanística isenta de controlo prévio"),G12="Não",G54&gt;0),'SIMULADOR_TAXAS ADMINISTRATIVAS'!D84))))))</f>
        <v xml:space="preserve"> Preencher 1</v>
      </c>
      <c r="H61" s="303"/>
    </row>
    <row r="62" spans="1:8" s="154" customFormat="1" ht="15.95" customHeight="1" x14ac:dyDescent="0.25">
      <c r="A62" s="324"/>
      <c r="B62" s="301" t="s">
        <v>365</v>
      </c>
      <c r="C62" s="304" t="s">
        <v>457</v>
      </c>
      <c r="D62" s="304"/>
      <c r="E62" s="298"/>
      <c r="F62" s="298"/>
      <c r="G62" s="303" t="str">
        <f>IF(G10=""," Preencher 1",
IF(G10="Utilização após operação urbanística sujeita a controlo prévio","Não se aplica",
IF(AND(G10="Licença de Recinto",G54&lt;=0),"Preencher 5",
IF(AND(G10="Licença de Recinto",G54&gt;0),'SIMULADOR_TAXAS ADMINISTRATIVAS'!D85,
IF(AND(OR(G10="Alteração à utilização sem operação urbanística prévia",G10="Utilização após operação urbanística isenta de controlo prévio"),G12=""),"Preencher 2",
IF(AND(OR(G10="Alteração à utilização sem operação urbanística prévia",G10="Utilização após operação urbanística isenta de controlo prévio"),G12="Não"),"Não se aplica",
IF(AND(OR(G10="Alteração à utilização sem operação urbanística prévia",G10="Utilização após operação urbanística isenta de controlo prévio"),G12="Sim",G54&lt;=0),"Preencher 5",
IF(AND(OR(G10="Alteração à utilização sem operação urbanística prévia",G10="Utilização após operação urbanística isenta de controlo prévio"),G12="Sim",G54&gt;0),'SIMULADOR_TAXAS ADMINISTRATIVAS'!D85))))))))</f>
        <v xml:space="preserve"> Preencher 1</v>
      </c>
      <c r="H62" s="324"/>
    </row>
    <row r="63" spans="1:8" s="154" customFormat="1" ht="15.95" customHeight="1" x14ac:dyDescent="0.25">
      <c r="A63" s="324"/>
      <c r="B63" s="301" t="s">
        <v>368</v>
      </c>
      <c r="C63" s="304" t="s">
        <v>458</v>
      </c>
      <c r="D63" s="304"/>
      <c r="E63" s="298" t="s">
        <v>459</v>
      </c>
      <c r="F63" s="298"/>
      <c r="G63" s="303" t="str">
        <f>IF(G10=""," Preencher 1",
IF(G10="Utilização após operação urbanística sujeita a controlo prévio","Não se aplica",
IF(AND(G10="Licença de Recinto",F54&lt;=0),"Preencher 5",
IF(AND(G10="Licença de Recinto",F54&gt;0),'SIMULADOR_TAXAS ADMINISTRATIVAS'!F86,
IF(AND(OR(G10="Alteração à utilização sem operação urbanística prévia",G10="Utilização após operação urbanística isenta de controlo prévio"),G14=""),"Preencher 3",
IF(AND(OR(G10="Alteração à utilização sem operação urbanística prévia",G10="Utilização após operação urbanística isenta de controlo prévio"),G14="Não"),"Não se aplica",
IF(AND(OR(G10="Alteração à utilização sem operação urbanística prévia",G10="Utilização após operação urbanística isenta de controlo prévio"),G14="Sim",G54&lt;=0),"Preencher 5",
IF(AND(OR(G10="Alteração à utilização sem operação urbanística prévia",G10="Utilização após operação urbanística isenta de controlo prévio"),G14="Sim",G54&gt;0),'SIMULADOR_TAXAS ADMINISTRATIVAS'!F86
))))))))</f>
        <v xml:space="preserve"> Preencher 1</v>
      </c>
      <c r="H63" s="324"/>
    </row>
    <row r="64" spans="1:8" s="154" customFormat="1" ht="15.95" customHeight="1" x14ac:dyDescent="0.25">
      <c r="A64" s="324"/>
      <c r="B64" s="267"/>
      <c r="C64" s="304"/>
      <c r="D64" s="304"/>
      <c r="E64" s="304"/>
      <c r="F64" s="304"/>
      <c r="G64" s="303"/>
      <c r="H64" s="324"/>
    </row>
    <row r="65" spans="1:8" s="152" customFormat="1" ht="45" customHeight="1" x14ac:dyDescent="0.25">
      <c r="A65" s="323"/>
      <c r="B65" s="294" t="s">
        <v>357</v>
      </c>
      <c r="C65" s="295" t="s">
        <v>377</v>
      </c>
      <c r="D65" s="295"/>
      <c r="E65" s="305" t="s">
        <v>378</v>
      </c>
      <c r="F65" s="305"/>
      <c r="G65" s="297" t="str">
        <f>IF(G10="","Para simular a taxa aplicável, deve preencher os campos do formulário de acordo com a operação urbanística",
IF(OR(G10="Utilização após operação urbanística sujeita a controlo prévio",
G10="Licença de recinto"),
"Não se aplica",
IF(AND(OR(G10="Alteração à utilização sem operação urbanística prévia",
G10="Utilização após operação urbanística isenta de controlo prévio"),
G54=0),
"Preencher 5",
IF(AND(OR(G10="Alteração à utilização sem operação urbanística prévia",
G10="Utilização após operação urbanística isenta de controlo prévio"),
(G54-E54)&gt;0,
G16=""),
"Preencher 4",
IF(AND(OR(G10="Alteração à utilização sem operação urbanística prévia",
G10="Utilização após operação urbanística isenta de controlo prévio"),
(G54-E54)=0,
G16&lt;&gt;"",
TRIU_UTILIZAÇÃO!B16=0),
"Não se aplica",
IF(AND(OR(G10="Alteração à utilização sem operação urbanística prévia",
G10="Utilização após operação urbanística isenta de controlo prévio"),
(G54-E54)&gt;0,
G16&lt;&gt;"",
TRIU_UTILIZAÇÃO!B16&gt;0),
TRIU_UTILIZAÇÃO!B16
))))))</f>
        <v>Para simular a taxa aplicável, deve preencher os campos do formulário de acordo com a operação urbanística</v>
      </c>
      <c r="H65" s="323"/>
    </row>
    <row r="66" spans="1:8" s="152" customFormat="1" ht="15.95" customHeight="1" x14ac:dyDescent="0.25">
      <c r="A66" s="323"/>
      <c r="B66" s="267"/>
      <c r="C66" s="298" t="s">
        <v>379</v>
      </c>
      <c r="D66" s="298"/>
      <c r="E66" s="306"/>
      <c r="F66" s="306"/>
      <c r="G66" s="300"/>
      <c r="H66" s="323"/>
    </row>
    <row r="67" spans="1:8" s="152" customFormat="1" ht="15.95" customHeight="1" x14ac:dyDescent="0.25">
      <c r="A67" s="323"/>
      <c r="B67" s="267"/>
      <c r="C67" s="298"/>
      <c r="D67" s="298"/>
      <c r="E67" s="306"/>
      <c r="F67" s="306"/>
      <c r="G67" s="300"/>
      <c r="H67" s="323"/>
    </row>
    <row r="68" spans="1:8" s="152" customFormat="1" ht="45" x14ac:dyDescent="0.25">
      <c r="A68" s="323"/>
      <c r="B68" s="307" t="s">
        <v>357</v>
      </c>
      <c r="C68" s="326" t="s">
        <v>380</v>
      </c>
      <c r="D68" s="309"/>
      <c r="E68" s="310"/>
      <c r="F68" s="311"/>
      <c r="G68" s="312" t="str">
        <f>IF(OR(G58="Para simular a taxa aplicável, deve preencher os campos do formulário de acordo com a operação urbanística",564="Para simular a taxa aplicável, deve preencher os campos do formulário de acordo com a operação urbanística"),"Para apurar valor, deve preencher os campos do formulário de acordo com a operação urbanística",IF(AND(G58="Não se aplica",G65="Não se aplica"),"Não se aplica",IF(SUM(G58,G65)&gt;0,SUM(G58,G65))))</f>
        <v>Para apurar valor, deve preencher os campos do formulário de acordo com a operação urbanística</v>
      </c>
      <c r="H68" s="323"/>
    </row>
    <row r="69" spans="1:8" s="152" customFormat="1" ht="15.75" customHeight="1" x14ac:dyDescent="0.25">
      <c r="A69" s="323"/>
      <c r="B69" s="267"/>
      <c r="C69" s="276"/>
      <c r="D69" s="276"/>
      <c r="E69" s="306"/>
      <c r="F69" s="306"/>
      <c r="G69" s="313"/>
      <c r="H69" s="323"/>
    </row>
    <row r="70" spans="1:8" s="151" customFormat="1" ht="24.95" customHeight="1" x14ac:dyDescent="0.25">
      <c r="A70" s="291"/>
      <c r="B70" s="145" t="s">
        <v>70</v>
      </c>
      <c r="C70" s="149"/>
      <c r="D70" s="149"/>
      <c r="E70" s="150"/>
      <c r="F70" s="150"/>
      <c r="G70" s="157"/>
      <c r="H70" s="291"/>
    </row>
    <row r="71" spans="1:8" s="151" customFormat="1" ht="15.95" customHeight="1" x14ac:dyDescent="0.25">
      <c r="A71" s="291"/>
      <c r="B71" s="272"/>
      <c r="C71" s="291"/>
      <c r="D71" s="291"/>
      <c r="E71" s="292"/>
      <c r="F71" s="292"/>
      <c r="G71" s="293"/>
      <c r="H71" s="291"/>
    </row>
    <row r="72" spans="1:8" s="152" customFormat="1" ht="15.95" customHeight="1" x14ac:dyDescent="0.25">
      <c r="A72" s="323"/>
      <c r="B72" s="314" t="s">
        <v>381</v>
      </c>
      <c r="C72" s="298" t="s">
        <v>382</v>
      </c>
      <c r="D72" s="298"/>
      <c r="E72" s="315"/>
      <c r="F72" s="315"/>
      <c r="G72" s="316">
        <f>TABELAS_COEFICIENTES!B2</f>
        <v>94.08</v>
      </c>
      <c r="H72" s="323"/>
    </row>
    <row r="73" spans="1:8" s="152" customFormat="1" ht="15.95" customHeight="1" x14ac:dyDescent="0.25">
      <c r="A73" s="323"/>
      <c r="B73" s="314" t="s">
        <v>385</v>
      </c>
      <c r="C73" s="298" t="s">
        <v>386</v>
      </c>
      <c r="D73" s="298"/>
      <c r="E73" s="315"/>
      <c r="F73" s="315"/>
      <c r="G73" s="316">
        <f>TABELAS_COEFICIENTES!B5</f>
        <v>20.23</v>
      </c>
      <c r="H73" s="323"/>
    </row>
    <row r="74" spans="1:8" s="152" customFormat="1" ht="15.95" customHeight="1" x14ac:dyDescent="0.25">
      <c r="A74" s="323"/>
      <c r="B74" s="317" t="s">
        <v>387</v>
      </c>
      <c r="C74" s="584" t="s">
        <v>460</v>
      </c>
      <c r="D74" s="584"/>
      <c r="E74" s="584"/>
      <c r="F74" s="320"/>
      <c r="G74" s="301" t="str">
        <f>IF(G54=0,"",IF(G54&lt;=150,"1",IF(G54&lt;=600,"1,6",IF(G54&lt;=1200,"2,2",IF(G54&lt;=2500,"3",IF(G54&lt;=5000,"4",IF(G54&lt;=10000,"5",IF(G54&lt;=20000,"6",IF(G54&lt;=40000,"7",IF(G54&lt;=80000,"8",IF(G54&lt;=160000,"9",IF(G54&gt;160000,"10"))))))))))))</f>
        <v/>
      </c>
      <c r="H74" s="323"/>
    </row>
    <row r="75" spans="1:8" s="152" customFormat="1" ht="15.95" customHeight="1" x14ac:dyDescent="0.25">
      <c r="A75" s="323"/>
      <c r="B75" s="314" t="s">
        <v>392</v>
      </c>
      <c r="C75" s="298" t="s">
        <v>393</v>
      </c>
      <c r="D75" s="298"/>
      <c r="E75" s="315"/>
      <c r="F75" s="315"/>
      <c r="G75" s="301" t="str">
        <f>IF(G16="","",IF(G16="Espaços a Consolidar","3",IF(G16="Espaços Consolidados","4")))</f>
        <v/>
      </c>
      <c r="H75" s="323"/>
    </row>
    <row r="76" spans="1:8" s="152" customFormat="1" ht="15.95" customHeight="1" x14ac:dyDescent="0.25">
      <c r="A76" s="323"/>
      <c r="B76" s="314" t="s">
        <v>394</v>
      </c>
      <c r="C76" s="298" t="s">
        <v>395</v>
      </c>
      <c r="D76" s="298"/>
      <c r="E76" s="315"/>
      <c r="F76" s="315"/>
      <c r="G76" s="301" t="str">
        <f>IF(G54=0,"",IF(SUM(G54-E54)&lt;0,"",G54-E54))</f>
        <v/>
      </c>
      <c r="H76" s="323"/>
    </row>
    <row r="77" spans="1:8" s="152" customFormat="1" ht="15.95" customHeight="1" x14ac:dyDescent="0.25">
      <c r="A77" s="323"/>
      <c r="B77" s="321" t="s">
        <v>461</v>
      </c>
      <c r="C77" s="318" t="s">
        <v>462</v>
      </c>
      <c r="D77" s="319"/>
      <c r="E77" s="320"/>
      <c r="F77" s="320"/>
      <c r="G77" s="301" t="str">
        <f>IF(F54&lt;=0,"",F54)</f>
        <v/>
      </c>
      <c r="H77" s="323"/>
    </row>
    <row r="78" spans="1:8" s="152" customFormat="1" ht="15.95" customHeight="1" x14ac:dyDescent="0.25">
      <c r="A78" s="323"/>
      <c r="B78" s="327"/>
      <c r="C78" s="328"/>
      <c r="D78" s="329"/>
      <c r="E78" s="330"/>
      <c r="F78" s="330"/>
      <c r="G78" s="331"/>
      <c r="H78" s="323"/>
    </row>
    <row r="79" spans="1:8" ht="15.6" customHeight="1" x14ac:dyDescent="0.25">
      <c r="A79" s="273"/>
      <c r="B79" s="267"/>
      <c r="C79" s="319"/>
      <c r="D79" s="319"/>
      <c r="E79" s="319"/>
      <c r="F79" s="319"/>
      <c r="G79" s="319"/>
      <c r="H79" s="319"/>
    </row>
    <row r="80" spans="1:8" ht="15.75" customHeight="1" x14ac:dyDescent="0.25">
      <c r="A80" s="273"/>
      <c r="B80" s="301" t="s">
        <v>276</v>
      </c>
      <c r="C80" s="322" t="s">
        <v>277</v>
      </c>
      <c r="D80" s="322"/>
      <c r="E80" s="319"/>
      <c r="F80" s="319"/>
      <c r="G80" s="319"/>
      <c r="H80" s="319"/>
    </row>
    <row r="81" spans="1:8" ht="15.75" customHeight="1" x14ac:dyDescent="0.25">
      <c r="A81" s="273"/>
      <c r="B81" s="267"/>
      <c r="C81" s="450" t="s">
        <v>278</v>
      </c>
      <c r="D81" s="298"/>
      <c r="E81" s="273"/>
      <c r="F81" s="273"/>
      <c r="G81" s="274"/>
      <c r="H81" s="273"/>
    </row>
    <row r="82" spans="1:8" s="156" customFormat="1" ht="15.75" customHeight="1" x14ac:dyDescent="0.25">
      <c r="A82" s="274"/>
      <c r="B82" s="267"/>
      <c r="C82" s="298" t="s">
        <v>279</v>
      </c>
      <c r="D82" s="298"/>
      <c r="E82" s="273"/>
      <c r="F82" s="273"/>
      <c r="G82" s="274"/>
      <c r="H82" s="273"/>
    </row>
    <row r="83" spans="1:8" s="156" customFormat="1" ht="15.75" customHeight="1" x14ac:dyDescent="0.25">
      <c r="A83" s="274"/>
      <c r="B83" s="267"/>
      <c r="C83" s="298" t="s">
        <v>280</v>
      </c>
      <c r="D83" s="298"/>
      <c r="E83" s="273"/>
      <c r="F83" s="273"/>
      <c r="G83" s="274"/>
      <c r="H83" s="273"/>
    </row>
    <row r="84" spans="1:8" s="156" customFormat="1" ht="15.75" customHeight="1" x14ac:dyDescent="0.25">
      <c r="A84" s="274"/>
      <c r="B84" s="267"/>
      <c r="C84" s="318" t="s">
        <v>281</v>
      </c>
      <c r="D84" s="318"/>
      <c r="E84" s="273"/>
      <c r="F84" s="273"/>
      <c r="G84" s="274"/>
      <c r="H84" s="273"/>
    </row>
    <row r="85" spans="1:8" ht="15.75" customHeight="1" x14ac:dyDescent="0.25">
      <c r="A85" s="273"/>
      <c r="B85" s="267"/>
      <c r="C85" s="275"/>
      <c r="D85" s="275"/>
      <c r="E85" s="273"/>
      <c r="F85" s="273"/>
      <c r="G85" s="274"/>
      <c r="H85" s="273"/>
    </row>
    <row r="86" spans="1:8" s="156" customFormat="1" ht="15.75" customHeight="1" x14ac:dyDescent="0.25">
      <c r="B86" s="142"/>
      <c r="C86" s="155"/>
      <c r="D86" s="155"/>
      <c r="E86"/>
      <c r="F86"/>
      <c r="H86" s="143"/>
    </row>
    <row r="89" spans="1:8" ht="15.75" hidden="1" customHeight="1" x14ac:dyDescent="0.25">
      <c r="C89" s="170" t="s">
        <v>463</v>
      </c>
      <c r="D89" s="170"/>
    </row>
    <row r="90" spans="1:8" ht="15.75" hidden="1" customHeight="1" x14ac:dyDescent="0.25">
      <c r="C90" s="172" t="s">
        <v>464</v>
      </c>
      <c r="D90" s="172"/>
    </row>
    <row r="91" spans="1:8" ht="15.75" hidden="1" customHeight="1" x14ac:dyDescent="0.25">
      <c r="C91" s="172" t="s">
        <v>465</v>
      </c>
      <c r="D91" s="172"/>
    </row>
    <row r="92" spans="1:8" ht="15.75" hidden="1" customHeight="1" x14ac:dyDescent="0.25">
      <c r="C92" s="172" t="s">
        <v>466</v>
      </c>
      <c r="D92" s="172"/>
    </row>
  </sheetData>
  <sheetProtection algorithmName="SHA-512" hashValue="t6x1R8dHtxaunl2F11Y8s1xPXGaKsJStmXae6/Ejym5vE0oqnFfi3F1NvbRkmeEOOB2AyU8twalS5LTki/q+1g==" saltValue="c6/3Rg8nzCO4twZVPHHo2w==" spinCount="100000" sheet="1" objects="1" scenarios="1" selectLockedCells="1"/>
  <mergeCells count="6">
    <mergeCell ref="C74:E74"/>
    <mergeCell ref="E2:G2"/>
    <mergeCell ref="E4:G4"/>
    <mergeCell ref="E6:G6"/>
    <mergeCell ref="D19:E19"/>
    <mergeCell ref="F19:G19"/>
  </mergeCells>
  <phoneticPr fontId="4" type="noConversion"/>
  <conditionalFormatting sqref="D21:G25 D27:G31 D33:G39 D41:G52">
    <cfRule type="containsBlanks" dxfId="39" priority="10">
      <formula>LEN(TRIM(D21))=0</formula>
    </cfRule>
  </conditionalFormatting>
  <conditionalFormatting sqref="E2 E4">
    <cfRule type="containsBlanks" dxfId="38" priority="7">
      <formula>LEN(TRIM(E2))=0</formula>
    </cfRule>
  </conditionalFormatting>
  <conditionalFormatting sqref="G10 G12 G14 G16">
    <cfRule type="containsBlanks" dxfId="37" priority="9">
      <formula>LEN(TRIM(G10))=0</formula>
    </cfRule>
  </conditionalFormatting>
  <dataValidations count="11">
    <dataValidation type="custom" allowBlank="1" showInputMessage="1" showErrorMessage="1" sqref="G71" xr:uid="{B7CB88FC-AAD5-48BC-8501-0579676E42D2}">
      <formula1>OR(G65&lt;&gt;"Sem demolição",G71=" ")</formula1>
    </dataValidation>
    <dataValidation type="custom" allowBlank="1" showInputMessage="1" showErrorMessage="1" sqref="G70 G56:G57" xr:uid="{05C12AC9-781E-492F-B561-CD1646E99FCD}">
      <formula1>OR(#REF!&lt;&gt;"Sem demolição",G56=" ")</formula1>
    </dataValidation>
    <dataValidation type="list" allowBlank="1" showInputMessage="1" showErrorMessage="1" sqref="G16" xr:uid="{ECA8EAEF-3EB7-434A-B51D-DD8AE7F0B31C}">
      <formula1>"Espaços a consolidar, Espaços consolidados"</formula1>
    </dataValidation>
    <dataValidation type="custom" allowBlank="1" showInputMessage="1" showErrorMessage="1" sqref="G73" xr:uid="{D838C98F-D26F-4E0E-A0E1-3C93B8FEBF7E}">
      <formula1>OR(G71&lt;&gt;"Sem demolição",G73=" ")</formula1>
    </dataValidation>
    <dataValidation type="custom" allowBlank="1" showInputMessage="1" showErrorMessage="1" sqref="G72" xr:uid="{582E5139-8DB5-4529-B0AA-91285FD32EB4}">
      <formula1>OR(G69&lt;&gt;"Sem demolição",G72=" ")</formula1>
    </dataValidation>
    <dataValidation type="list" allowBlank="1" showInputMessage="1" showErrorMessage="1" sqref="G16" xr:uid="{54FA1757-61BC-40DF-99C2-A67894E989D4}">
      <formula1>"Espaços a Consolidar, Espaços Consolidados"</formula1>
    </dataValidation>
    <dataValidation type="list" allowBlank="1" showInputMessage="1" showErrorMessage="1" sqref="G12 G14" xr:uid="{5AC7EEA3-C2E4-4DE6-8656-900CBB8DAED4}">
      <formula1>"Sim,Não"</formula1>
    </dataValidation>
    <dataValidation type="whole" allowBlank="1" showInputMessage="1" showErrorMessage="1" sqref="G17:G18" xr:uid="{60BDA774-4C5A-4410-93D6-0DF7DA66705E}">
      <formula1>0</formula1>
      <formula2>30</formula2>
    </dataValidation>
    <dataValidation type="list" allowBlank="1" showInputMessage="1" showErrorMessage="1" sqref="G10" xr:uid="{208AD7DC-1B62-4A50-BD74-DC94AC120243}">
      <formula1>$C$89:$C$92</formula1>
    </dataValidation>
    <dataValidation type="custom" operator="greaterThanOrEqual" allowBlank="1" showInputMessage="1" showErrorMessage="1" errorTitle="Valor inválido" error="Apenas são admitidos valores numéricos com um máximo de duas casas decimais." sqref="E21:E25 G21:G25 E27:E31 G27:G31 E33:E39 G33:G39 E41:E52 G41:G52" xr:uid="{3114D043-4538-48D1-885C-F68970457703}">
      <formula1>ROUND(E21,2)=E21</formula1>
    </dataValidation>
    <dataValidation type="whole" operator="greaterThanOrEqual" allowBlank="1" showInputMessage="1" showErrorMessage="1" errorTitle="Valor inválido" error="Apenas são admitidos valores numéricos inteiros." sqref="D21:D25 F21:F25 D27:D31 F27:F31 D33:D39 F33:F39 D41:D52 F41:F52" xr:uid="{97327BD9-49CC-4F1F-B382-573DE65E1448}">
      <formula1>0</formula1>
    </dataValidation>
  </dataValidations>
  <hyperlinks>
    <hyperlink ref="C17" r:id="rId1" display="Para identificar a categoria de Espaço Urbano em que se encontra inserida a operação urbanistica consulte a Planta de Ordenamento - Qualificação do Espaço Urbano em:" xr:uid="{94AD2CD4-4657-42A5-ACC5-6EF3A13D1921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2"/>
  <headerFooter>
    <oddFooter>&amp;L&amp;F&amp;RPágina &amp;P de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1FDF7177A04E8A6BCA32DE819D43" ma:contentTypeVersion="12" ma:contentTypeDescription="Create a new document." ma:contentTypeScope="" ma:versionID="a7a6a26881eedd122cdd97c45c1d6c02">
  <xsd:schema xmlns:xsd="http://www.w3.org/2001/XMLSchema" xmlns:xs="http://www.w3.org/2001/XMLSchema" xmlns:p="http://schemas.microsoft.com/office/2006/metadata/properties" xmlns:ns2="7fe46710-0670-4a52-823c-f132af35e43b" xmlns:ns3="b61cbab3-8ddf-444f-a91e-a03a70c9f182" targetNamespace="http://schemas.microsoft.com/office/2006/metadata/properties" ma:root="true" ma:fieldsID="8e014acd49ca464cd1e14ee833eff16d" ns2:_="" ns3:_="">
    <xsd:import namespace="7fe46710-0670-4a52-823c-f132af35e43b"/>
    <xsd:import namespace="b61cbab3-8ddf-444f-a91e-a03a70c9f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46710-0670-4a52-823c-f132af35e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ca4d18a-058e-474b-a419-3ad0cb37f4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cbab3-8ddf-444f-a91e-a03a70c9f18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e3c492-48e5-47b1-b3a6-2e55912bb162}" ma:internalName="TaxCatchAll" ma:showField="CatchAllData" ma:web="b61cbab3-8ddf-444f-a91e-a03a70c9f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46710-0670-4a52-823c-f132af35e43b">
      <Terms xmlns="http://schemas.microsoft.com/office/infopath/2007/PartnerControls"/>
    </lcf76f155ced4ddcb4097134ff3c332f>
    <TaxCatchAll xmlns="b61cbab3-8ddf-444f-a91e-a03a70c9f1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C3404-46DE-4F55-92E3-AF07DB851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e46710-0670-4a52-823c-f132af35e43b"/>
    <ds:schemaRef ds:uri="b61cbab3-8ddf-444f-a91e-a03a70c9f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2D8BED-9DB3-4847-A2F6-CD2C972F4B5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61cbab3-8ddf-444f-a91e-a03a70c9f182"/>
    <ds:schemaRef ds:uri="http://purl.org/dc/terms/"/>
    <ds:schemaRef ds:uri="7fe46710-0670-4a52-823c-f132af35e43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8EA6E9-FDA9-4F23-A4D4-F3018F19A2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13</vt:i4>
      </vt:variant>
    </vt:vector>
  </HeadingPairs>
  <TitlesOfParts>
    <vt:vector size="26" baseType="lpstr">
      <vt:lpstr>TABELAS_COEFICIENTES</vt:lpstr>
      <vt:lpstr>TRIU_EDIFICAÇÃO</vt:lpstr>
      <vt:lpstr>TRIU_LOTEAMENTO</vt:lpstr>
      <vt:lpstr>TRIU_UTILIZAÇÃO</vt:lpstr>
      <vt:lpstr>SIMULADOR_TAXAS ADMINISTRATIVAS</vt:lpstr>
      <vt:lpstr>INSTRUÇÕES</vt:lpstr>
      <vt:lpstr>EDIFICAÇÃO_DEMOLIÇÃO</vt:lpstr>
      <vt:lpstr>LOTEAMENTO_URBANIZAÇÃO</vt:lpstr>
      <vt:lpstr>UTILIZAÇÃO</vt:lpstr>
      <vt:lpstr>OUTROS</vt:lpstr>
      <vt:lpstr>OVP_Traçados A e B</vt:lpstr>
      <vt:lpstr>OVP_Traçados C e D</vt:lpstr>
      <vt:lpstr>OVP_Espaços a Consolidar</vt:lpstr>
      <vt:lpstr>EDIFICAÇÃO_DEMOLIÇÃO!Área_de_Impressão</vt:lpstr>
      <vt:lpstr>INSTRUÇÕES!Área_de_Impressão</vt:lpstr>
      <vt:lpstr>LOTEAMENTO_URBANIZAÇÃO!Área_de_Impressão</vt:lpstr>
      <vt:lpstr>OUTROS!Área_de_Impressão</vt:lpstr>
      <vt:lpstr>'OVP_Espaços a Consolidar'!Área_de_Impressão</vt:lpstr>
      <vt:lpstr>'OVP_Traçados A e B'!Área_de_Impressão</vt:lpstr>
      <vt:lpstr>'OVP_Traçados C e D'!Área_de_Impressão</vt:lpstr>
      <vt:lpstr>'SIMULADOR_TAXAS ADMINISTRATIVAS'!Área_de_Impressão</vt:lpstr>
      <vt:lpstr>TABELAS_COEFICIENTES!Área_de_Impressão</vt:lpstr>
      <vt:lpstr>TRIU_EDIFICAÇÃO!Área_de_Impressão</vt:lpstr>
      <vt:lpstr>TRIU_LOTEAMENTO!Área_de_Impressão</vt:lpstr>
      <vt:lpstr>TRIU_UTILIZAÇÃO!Área_de_Impressão</vt:lpstr>
      <vt:lpstr>UTILIZAÇÃO!Área_de_Impressão</vt:lpstr>
    </vt:vector>
  </TitlesOfParts>
  <Manager/>
  <Company>C.M. Lisboa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CML_Simulador_TaxasUrbanisticas_2026_v1</dc:title>
  <dc:subject/>
  <dc:creator>Ana Júlio (DMU/EPIOU)</dc:creator>
  <cp:keywords/>
  <dc:description/>
  <cp:lastModifiedBy>Ana Júlio (DMU/EPIOU)</cp:lastModifiedBy>
  <cp:revision/>
  <dcterms:created xsi:type="dcterms:W3CDTF">2025-10-16T16:06:09Z</dcterms:created>
  <dcterms:modified xsi:type="dcterms:W3CDTF">2026-06-05T14:53:30Z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0x010100BA901FDF7177A04E8A6BCA32DE819D43</vt:lpwstr>
  </property>
  <property fmtid="{D5CDD505-2E9C-101B-9397-08002B2CF9AE}" pid="3" name="MediaServiceImageTags">
    <vt:lpwstr/>
  </property>
</Properties>
</file>